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JA\DATA SIMANDAELU\B.M\"/>
    </mc:Choice>
  </mc:AlternateContent>
  <xr:revisionPtr revIDLastSave="0" documentId="13_ncr:1_{1DDE7437-8BA4-4C92-9B1E-8BCB5F3FC02B}" xr6:coauthVersionLast="44" xr6:coauthVersionMax="44" xr10:uidLastSave="{00000000-0000-0000-0000-000000000000}"/>
  <workbookProtection workbookAlgorithmName="SHA-512" workbookHashValue="JqCDWgjnlqhMwVCcTPUxr4aPPYE5dkBkzcnfCNaz5J0FeObJjA2oraPJ1W/igPqBkgvvYlP/8G/LNTsPCgOAmg==" workbookSaltValue="x7/rafLnNZFaw975wtOaWQ==" workbookSpinCount="100000" lockStructure="1"/>
  <bookViews>
    <workbookView xWindow="-120" yWindow="-120" windowWidth="20730" windowHeight="11760" tabRatio="918" xr2:uid="{00000000-000D-0000-FFFF-FFFF00000000}"/>
  </bookViews>
  <sheets>
    <sheet name="DD1-2020" sheetId="33" r:id="rId1"/>
    <sheet name="Form RCI" sheetId="1" state="hidden" r:id="rId2"/>
    <sheet name="Form RCI 2" sheetId="35" state="hidden" r:id="rId3"/>
    <sheet name="Form RCI (3)" sheetId="36" state="hidden" r:id="rId4"/>
    <sheet name="Aspal" sheetId="32" state="hidden" r:id="rId5"/>
    <sheet name="Non Aspal" sheetId="34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____DIV10" localSheetId="0">#REF!</definedName>
    <definedName name="____DIV10" localSheetId="2">#REF!</definedName>
    <definedName name="____DIV10" localSheetId="5">#REF!</definedName>
    <definedName name="____DIV10">#REF!</definedName>
    <definedName name="____DIV11" localSheetId="0">#REF!</definedName>
    <definedName name="____DIV11" localSheetId="2">#REF!</definedName>
    <definedName name="____DIV11">#REF!</definedName>
    <definedName name="____DIV9" localSheetId="0">#REF!</definedName>
    <definedName name="____DIV9" localSheetId="2">#REF!</definedName>
    <definedName name="____DIV9">#REF!</definedName>
    <definedName name="____HAL8" localSheetId="0">#REF!</definedName>
    <definedName name="____HAL8" localSheetId="2">#REF!</definedName>
    <definedName name="____HAL8">#REF!</definedName>
    <definedName name="____MMM25" localSheetId="0">[1]Basic!#REF!</definedName>
    <definedName name="____MMM25" localSheetId="2">[1]Basic!#REF!</definedName>
    <definedName name="____MMM25" localSheetId="5">[1]Basic!#REF!</definedName>
    <definedName name="____MMM25">[1]Basic!#REF!</definedName>
    <definedName name="____MMM26" localSheetId="0">[1]Basic!#REF!</definedName>
    <definedName name="____MMM26" localSheetId="2">[1]Basic!#REF!</definedName>
    <definedName name="____MMM26" localSheetId="5">[1]Basic!#REF!</definedName>
    <definedName name="____MMM26">[1]Basic!#REF!</definedName>
    <definedName name="____MMM27" localSheetId="0">[1]Basic!#REF!</definedName>
    <definedName name="____MMM27" localSheetId="2">[1]Basic!#REF!</definedName>
    <definedName name="____MMM27" localSheetId="5">[1]Basic!#REF!</definedName>
    <definedName name="____MMM27">[1]Basic!#REF!</definedName>
    <definedName name="____MMM28" localSheetId="0">[1]Basic!#REF!</definedName>
    <definedName name="____MMM28" localSheetId="2">[1]Basic!#REF!</definedName>
    <definedName name="____MMM28" localSheetId="5">[1]Basic!#REF!</definedName>
    <definedName name="____MMM28">[1]Basic!#REF!</definedName>
    <definedName name="____MMM29" localSheetId="0">[1]Basic!#REF!</definedName>
    <definedName name="____MMM29" localSheetId="2">[1]Basic!#REF!</definedName>
    <definedName name="____MMM29" localSheetId="5">[1]Basic!#REF!</definedName>
    <definedName name="____MMM29">[1]Basic!#REF!</definedName>
    <definedName name="____MMM30" localSheetId="0">[1]Basic!#REF!</definedName>
    <definedName name="____MMM30" localSheetId="2">[1]Basic!#REF!</definedName>
    <definedName name="____MMM30" localSheetId="5">[1]Basic!#REF!</definedName>
    <definedName name="____MMM30">[1]Basic!#REF!</definedName>
    <definedName name="____MMM31" localSheetId="0">[1]Basic!#REF!</definedName>
    <definedName name="____MMM31" localSheetId="2">[1]Basic!#REF!</definedName>
    <definedName name="____MMM31" localSheetId="5">[1]Basic!#REF!</definedName>
    <definedName name="____MMM31">[1]Basic!#REF!</definedName>
    <definedName name="____MMM33" localSheetId="0">[1]Basic!#REF!</definedName>
    <definedName name="____MMM33" localSheetId="2">[1]Basic!#REF!</definedName>
    <definedName name="____MMM33" localSheetId="5">[1]Basic!#REF!</definedName>
    <definedName name="____MMM33">[1]Basic!#REF!</definedName>
    <definedName name="____MMM34" localSheetId="0">[1]Basic!#REF!</definedName>
    <definedName name="____MMM34" localSheetId="2">[1]Basic!#REF!</definedName>
    <definedName name="____MMM34" localSheetId="5">[1]Basic!#REF!</definedName>
    <definedName name="____MMM34">[1]Basic!#REF!</definedName>
    <definedName name="____MMM40" localSheetId="0">[1]Basic!#REF!</definedName>
    <definedName name="____MMM40" localSheetId="2">[1]Basic!#REF!</definedName>
    <definedName name="____MMM40" localSheetId="5">[1]Basic!#REF!</definedName>
    <definedName name="____MMM40">[1]Basic!#REF!</definedName>
    <definedName name="____MMM41" localSheetId="0">[1]Basic!#REF!</definedName>
    <definedName name="____MMM41" localSheetId="2">[1]Basic!#REF!</definedName>
    <definedName name="____MMM41" localSheetId="5">[1]Basic!#REF!</definedName>
    <definedName name="____MMM41">[1]Basic!#REF!</definedName>
    <definedName name="____MMM411" localSheetId="0">[1]Basic!#REF!</definedName>
    <definedName name="____MMM411" localSheetId="2">[1]Basic!#REF!</definedName>
    <definedName name="____MMM411" localSheetId="5">[1]Basic!#REF!</definedName>
    <definedName name="____MMM411">[1]Basic!#REF!</definedName>
    <definedName name="____MMM42" localSheetId="0">[1]Basic!#REF!</definedName>
    <definedName name="____MMM42" localSheetId="2">[1]Basic!#REF!</definedName>
    <definedName name="____MMM42" localSheetId="5">[1]Basic!#REF!</definedName>
    <definedName name="____MMM42">[1]Basic!#REF!</definedName>
    <definedName name="____MMM43" localSheetId="0">[1]Basic!#REF!</definedName>
    <definedName name="____MMM43" localSheetId="2">[1]Basic!#REF!</definedName>
    <definedName name="____MMM43" localSheetId="5">[1]Basic!#REF!</definedName>
    <definedName name="____MMM43">[1]Basic!#REF!</definedName>
    <definedName name="____MMM45" localSheetId="0">[1]Basic!#REF!</definedName>
    <definedName name="____MMM45" localSheetId="2">[1]Basic!#REF!</definedName>
    <definedName name="____MMM45" localSheetId="5">[1]Basic!#REF!</definedName>
    <definedName name="____MMM45">[1]Basic!#REF!</definedName>
    <definedName name="____MMM46" localSheetId="0">[1]Basic!#REF!</definedName>
    <definedName name="____MMM46" localSheetId="2">[1]Basic!#REF!</definedName>
    <definedName name="____MMM46" localSheetId="5">[1]Basic!#REF!</definedName>
    <definedName name="____MMM46">[1]Basic!#REF!</definedName>
    <definedName name="____MMM48" localSheetId="0">[1]Basic!#REF!</definedName>
    <definedName name="____MMM48" localSheetId="2">[1]Basic!#REF!</definedName>
    <definedName name="____MMM48" localSheetId="5">[1]Basic!#REF!</definedName>
    <definedName name="____MMM48">[1]Basic!#REF!</definedName>
    <definedName name="____MMM51" localSheetId="0">[1]Basic!#REF!</definedName>
    <definedName name="____MMM51" localSheetId="2">[1]Basic!#REF!</definedName>
    <definedName name="____MMM51" localSheetId="5">[1]Basic!#REF!</definedName>
    <definedName name="____MMM51">[1]Basic!#REF!</definedName>
    <definedName name="____MMM52" localSheetId="0">[1]Basic!#REF!</definedName>
    <definedName name="____MMM52" localSheetId="2">[1]Basic!#REF!</definedName>
    <definedName name="____MMM52" localSheetId="5">[1]Basic!#REF!</definedName>
    <definedName name="____MMM52">[1]Basic!#REF!</definedName>
    <definedName name="____MMM53" localSheetId="0">[1]Basic!#REF!</definedName>
    <definedName name="____MMM53" localSheetId="2">[1]Basic!#REF!</definedName>
    <definedName name="____MMM53" localSheetId="5">[1]Basic!#REF!</definedName>
    <definedName name="____MMM53">[1]Basic!#REF!</definedName>
    <definedName name="___DIV1" localSheetId="0">#REF!</definedName>
    <definedName name="___DIV1" localSheetId="2">#REF!</definedName>
    <definedName name="___DIV1" localSheetId="5">#REF!</definedName>
    <definedName name="___DIV1">#REF!</definedName>
    <definedName name="___DIV2" localSheetId="0">#REF!</definedName>
    <definedName name="___DIV2" localSheetId="2">#REF!</definedName>
    <definedName name="___DIV2">#REF!</definedName>
    <definedName name="___DIV3" localSheetId="0">#REF!</definedName>
    <definedName name="___DIV3" localSheetId="2">#REF!</definedName>
    <definedName name="___DIV3">#REF!</definedName>
    <definedName name="___DIV4" localSheetId="0">#REF!</definedName>
    <definedName name="___DIV4" localSheetId="2">#REF!</definedName>
    <definedName name="___DIV4">#REF!</definedName>
    <definedName name="___DIV5" localSheetId="0">#REF!</definedName>
    <definedName name="___DIV5" localSheetId="2">#REF!</definedName>
    <definedName name="___DIV5">#REF!</definedName>
    <definedName name="___DIV6" localSheetId="0">#REF!</definedName>
    <definedName name="___DIV6" localSheetId="2">#REF!</definedName>
    <definedName name="___DIV6">#REF!</definedName>
    <definedName name="___DIV7" localSheetId="0">#REF!</definedName>
    <definedName name="___DIV7" localSheetId="2">#REF!</definedName>
    <definedName name="___DIV7">#REF!</definedName>
    <definedName name="___DIV8" localSheetId="0">#REF!</definedName>
    <definedName name="___DIV8" localSheetId="2">#REF!</definedName>
    <definedName name="___DIV8">#REF!</definedName>
    <definedName name="___EEE01" localSheetId="5">[1]Alat!$AM$8</definedName>
    <definedName name="___EEE01">[1]Alat!$AM$8</definedName>
    <definedName name="___EEE02" localSheetId="5">[1]Alat!$AM$9</definedName>
    <definedName name="___EEE02">[1]Alat!$AM$9</definedName>
    <definedName name="___EEE03" localSheetId="5">[1]Alat!$AM$10</definedName>
    <definedName name="___EEE03">[1]Alat!$AM$10</definedName>
    <definedName name="___EEE04" localSheetId="5">[1]Alat!$AM$11</definedName>
    <definedName name="___EEE04">[1]Alat!$AM$11</definedName>
    <definedName name="___EEE05" localSheetId="5">[1]Alat!$AM$12</definedName>
    <definedName name="___EEE05">[1]Alat!$AM$12</definedName>
    <definedName name="___EEE06" localSheetId="5">[1]Alat!$AM$13</definedName>
    <definedName name="___EEE06">[1]Alat!$AM$13</definedName>
    <definedName name="___EEE07" localSheetId="5">[1]Alat!$AM$14</definedName>
    <definedName name="___EEE07">[1]Alat!$AM$14</definedName>
    <definedName name="___EEE08" localSheetId="5">[1]Alat!$AM$15</definedName>
    <definedName name="___EEE08">[1]Alat!$AM$15</definedName>
    <definedName name="___EEE09" localSheetId="5">[1]Alat!$AM$16</definedName>
    <definedName name="___EEE09">[1]Alat!$AM$16</definedName>
    <definedName name="___EEE10" localSheetId="5">[1]Alat!$AM$17</definedName>
    <definedName name="___EEE10">[1]Alat!$AM$17</definedName>
    <definedName name="___EEE11" localSheetId="5">[1]Alat!$AM$18</definedName>
    <definedName name="___EEE11">[1]Alat!$AM$18</definedName>
    <definedName name="___EEE12" localSheetId="5">[1]Alat!$AM$19</definedName>
    <definedName name="___EEE12">[1]Alat!$AM$19</definedName>
    <definedName name="___EEE13" localSheetId="5">[1]Alat!$AM$20</definedName>
    <definedName name="___EEE13">[1]Alat!$AM$20</definedName>
    <definedName name="___EEE14" localSheetId="5">[1]Alat!$AM$21</definedName>
    <definedName name="___EEE14">[1]Alat!$AM$21</definedName>
    <definedName name="___EEE15" localSheetId="5">[1]Alat!$AM$22</definedName>
    <definedName name="___EEE15">[1]Alat!$AM$22</definedName>
    <definedName name="___EEE16" localSheetId="5">[1]Alat!$AM$23</definedName>
    <definedName name="___EEE16">[1]Alat!$AM$23</definedName>
    <definedName name="___EEE17" localSheetId="5">[1]Alat!$AM$24</definedName>
    <definedName name="___EEE17">[1]Alat!$AM$24</definedName>
    <definedName name="___EEE18" localSheetId="5">[1]Alat!$AM$25</definedName>
    <definedName name="___EEE18">[1]Alat!$AM$25</definedName>
    <definedName name="___EEE19" localSheetId="5">[1]Alat!$AM$26</definedName>
    <definedName name="___EEE19">[1]Alat!$AM$26</definedName>
    <definedName name="___EEE20" localSheetId="5">[1]Alat!$AM$27</definedName>
    <definedName name="___EEE20">[1]Alat!$AM$27</definedName>
    <definedName name="___EEE21" localSheetId="5">[1]Alat!$AM$28</definedName>
    <definedName name="___EEE21">[1]Alat!$AM$28</definedName>
    <definedName name="___EEE22" localSheetId="5">[1]Alat!$AM$29</definedName>
    <definedName name="___EEE22">[1]Alat!$AM$29</definedName>
    <definedName name="___EEE23" localSheetId="5">[1]Alat!$AM$30</definedName>
    <definedName name="___EEE23">[1]Alat!$AM$30</definedName>
    <definedName name="___EEE24" localSheetId="5">[1]Alat!$AM$31</definedName>
    <definedName name="___EEE24">[1]Alat!$AM$31</definedName>
    <definedName name="___EEE25" localSheetId="5">[1]Alat!$AM$32</definedName>
    <definedName name="___EEE25">[1]Alat!$AM$32</definedName>
    <definedName name="___EEE26" localSheetId="5">[1]Alat!$AM$33</definedName>
    <definedName name="___EEE26">[1]Alat!$AM$33</definedName>
    <definedName name="___EEE27" localSheetId="5">[1]Alat!$AM$34</definedName>
    <definedName name="___EEE27">[1]Alat!$AM$34</definedName>
    <definedName name="___EEE28" localSheetId="5">[1]Alat!$AM$35</definedName>
    <definedName name="___EEE28">[1]Alat!$AM$35</definedName>
    <definedName name="___EEE29" localSheetId="5">[1]Alat!$AM$36</definedName>
    <definedName name="___EEE29">[1]Alat!$AM$36</definedName>
    <definedName name="___EEE30" localSheetId="5">[1]Alat!$AM$37</definedName>
    <definedName name="___EEE30">[1]Alat!$AM$37</definedName>
    <definedName name="___EEE31" localSheetId="5">[1]Alat!$AM$38</definedName>
    <definedName name="___EEE31">[1]Alat!$AM$38</definedName>
    <definedName name="___EEE32" localSheetId="5">[1]Alat!$AM$39</definedName>
    <definedName name="___EEE32">[1]Alat!$AM$39</definedName>
    <definedName name="___EEE33" localSheetId="5">[1]Alat!$AM$40</definedName>
    <definedName name="___EEE33">[1]Alat!$AM$40</definedName>
    <definedName name="___HAL1" localSheetId="0">#REF!</definedName>
    <definedName name="___HAL1" localSheetId="2">#REF!</definedName>
    <definedName name="___HAL1">#REF!</definedName>
    <definedName name="___HAL2" localSheetId="0">#REF!</definedName>
    <definedName name="___HAL2" localSheetId="2">#REF!</definedName>
    <definedName name="___HAL2">#REF!</definedName>
    <definedName name="___HAL3" localSheetId="0">#REF!</definedName>
    <definedName name="___HAL3" localSheetId="2">#REF!</definedName>
    <definedName name="___HAL3">#REF!</definedName>
    <definedName name="___HAL4" localSheetId="0">#REF!</definedName>
    <definedName name="___HAL4" localSheetId="2">#REF!</definedName>
    <definedName name="___HAL4">#REF!</definedName>
    <definedName name="___HAL5" localSheetId="0">#REF!</definedName>
    <definedName name="___HAL5" localSheetId="2">#REF!</definedName>
    <definedName name="___HAL5">#REF!</definedName>
    <definedName name="___HAL6" localSheetId="0">#REF!</definedName>
    <definedName name="___HAL6" localSheetId="2">#REF!</definedName>
    <definedName name="___HAL6">#REF!</definedName>
    <definedName name="___HAL7" localSheetId="0">#REF!</definedName>
    <definedName name="___HAL7" localSheetId="2">#REF!</definedName>
    <definedName name="___HAL7">#REF!</definedName>
    <definedName name="___LLL01" localSheetId="5">[1]Basic!$F$8</definedName>
    <definedName name="___LLL01">[1]Basic!$F$8</definedName>
    <definedName name="___LLL02" localSheetId="5">[1]Basic!$F$10</definedName>
    <definedName name="___LLL02">[1]Basic!$F$10</definedName>
    <definedName name="___LLL03" localSheetId="5">[1]Basic!$F$12</definedName>
    <definedName name="___LLL03">[1]Basic!$F$12</definedName>
    <definedName name="___LLL04" localSheetId="5">[1]Basic!$F$14</definedName>
    <definedName name="___LLL04">[1]Basic!$F$14</definedName>
    <definedName name="___LLL05" localSheetId="5">[1]Basic!$F$16</definedName>
    <definedName name="___LLL05">[1]Basic!$F$16</definedName>
    <definedName name="___LLL06" localSheetId="5">[1]Basic!$F$18</definedName>
    <definedName name="___LLL06">[1]Basic!$F$18</definedName>
    <definedName name="___LLL07" localSheetId="5">[1]Basic!$F$20</definedName>
    <definedName name="___LLL07">[1]Basic!$F$20</definedName>
    <definedName name="___LLL08" localSheetId="5">[1]Basic!$F$22</definedName>
    <definedName name="___LLL08">[1]Basic!$F$22</definedName>
    <definedName name="___LLL09" localSheetId="5">[1]Basic!$F$24</definedName>
    <definedName name="___LLL09">[1]Basic!$F$24</definedName>
    <definedName name="___LLL10" localSheetId="5">[1]Basic!$F$26</definedName>
    <definedName name="___LLL10">[1]Basic!$F$26</definedName>
    <definedName name="___LLL11" localSheetId="5">[1]Basic!$F$28</definedName>
    <definedName name="___LLL11">[1]Basic!$F$28</definedName>
    <definedName name="___MMM01" localSheetId="5">[1]Basic!$F$40</definedName>
    <definedName name="___MMM01">[1]Basic!$F$40</definedName>
    <definedName name="___MMM02" localSheetId="5">[1]Basic!$F$41</definedName>
    <definedName name="___MMM02">[1]Basic!$F$41</definedName>
    <definedName name="___MMM03" localSheetId="5">[1]Basic!$F$42</definedName>
    <definedName name="___MMM03">[1]Basic!$F$42</definedName>
    <definedName name="___MMM04" localSheetId="5">[1]Basic!$F$44</definedName>
    <definedName name="___MMM04">[1]Basic!$F$44</definedName>
    <definedName name="___MMM05" localSheetId="5">[1]Basic!$F$46</definedName>
    <definedName name="___MMM05">[1]Basic!$F$46</definedName>
    <definedName name="___MMM06" localSheetId="5">[1]Basic!$F$47</definedName>
    <definedName name="___MMM06">[1]Basic!$F$47</definedName>
    <definedName name="___MMM07" localSheetId="5">[1]Basic!$F$50</definedName>
    <definedName name="___MMM07">[1]Basic!$F$50</definedName>
    <definedName name="___MMM08" localSheetId="5">[1]Basic!$F$51</definedName>
    <definedName name="___MMM08">[1]Basic!$F$51</definedName>
    <definedName name="___MMM09" localSheetId="5">[1]Basic!$F$52</definedName>
    <definedName name="___MMM09">[1]Basic!$F$52</definedName>
    <definedName name="___MMM10" localSheetId="5">[1]Basic!$F$53</definedName>
    <definedName name="___MMM10">[1]Basic!$F$53</definedName>
    <definedName name="___MMM11" localSheetId="5">[1]Basic!$F$54</definedName>
    <definedName name="___MMM11">[1]Basic!$F$54</definedName>
    <definedName name="___MMM12" localSheetId="5">[1]Basic!$F$55</definedName>
    <definedName name="___MMM12">[1]Basic!$F$55</definedName>
    <definedName name="___MMM13" localSheetId="5">[1]Basic!$F$57</definedName>
    <definedName name="___MMM13">[1]Basic!$F$57</definedName>
    <definedName name="___MMM14" localSheetId="5">[1]Basic!$F$58</definedName>
    <definedName name="___MMM14">[1]Basic!$F$58</definedName>
    <definedName name="___MMM15" localSheetId="5">[1]Basic!$F$59</definedName>
    <definedName name="___MMM15">[1]Basic!$F$59</definedName>
    <definedName name="___MMM16" localSheetId="5">[1]Basic!$F$60</definedName>
    <definedName name="___MMM16">[1]Basic!$F$60</definedName>
    <definedName name="___MMM17" localSheetId="5">[1]Basic!$F$61</definedName>
    <definedName name="___MMM17">[1]Basic!$F$61</definedName>
    <definedName name="___MMM18" localSheetId="5">[1]Basic!$F$63</definedName>
    <definedName name="___MMM18">[1]Basic!$F$63</definedName>
    <definedName name="___MMM19" localSheetId="5">[1]Basic!$F$64</definedName>
    <definedName name="___MMM19">[1]Basic!$F$64</definedName>
    <definedName name="___MMM20" localSheetId="5">[1]Basic!$F$65</definedName>
    <definedName name="___MMM20">[1]Basic!$F$65</definedName>
    <definedName name="___MMM21" localSheetId="5">[1]Basic!$F$66</definedName>
    <definedName name="___MMM21">[1]Basic!$F$66</definedName>
    <definedName name="___MMM22" localSheetId="5">[1]Basic!$F$67</definedName>
    <definedName name="___MMM22">[1]Basic!$F$67</definedName>
    <definedName name="___MMM23" localSheetId="5">[1]Basic!$F$68</definedName>
    <definedName name="___MMM23">[1]Basic!$F$68</definedName>
    <definedName name="___MMM24" localSheetId="5">[1]Basic!$F$69</definedName>
    <definedName name="___MMM24">[1]Basic!$F$69</definedName>
    <definedName name="___MMM32" localSheetId="5">[1]Basic!$F$71</definedName>
    <definedName name="___MMM32">[1]Basic!$F$71</definedName>
    <definedName name="___MMM35" localSheetId="5">[1]Basic!$F$72</definedName>
    <definedName name="___MMM35">[1]Basic!$F$72</definedName>
    <definedName name="___MMM36" localSheetId="5">[1]Basic!$F$74</definedName>
    <definedName name="___MMM36">[1]Basic!$F$74</definedName>
    <definedName name="___MMM37" localSheetId="5">[1]Basic!$F$75</definedName>
    <definedName name="___MMM37">[1]Basic!$F$75</definedName>
    <definedName name="___MMM38" localSheetId="5">[1]Basic!$F$76</definedName>
    <definedName name="___MMM38">[1]Basic!$F$76</definedName>
    <definedName name="___MMM39" localSheetId="5">[1]Basic!$F$77</definedName>
    <definedName name="___MMM39">[1]Basic!$F$77</definedName>
    <definedName name="___MMM44" localSheetId="5">[1]Basic!$F$79</definedName>
    <definedName name="___MMM44">[1]Basic!$F$79</definedName>
    <definedName name="___MMM47" localSheetId="5">[1]Basic!$F$80</definedName>
    <definedName name="___MMM47">[1]Basic!$F$80</definedName>
    <definedName name="___MMM49" localSheetId="5">[1]Basic!$F$81</definedName>
    <definedName name="___MMM49">[1]Basic!$F$81</definedName>
    <definedName name="___MMM50" localSheetId="5">[1]Basic!$F$82</definedName>
    <definedName name="___MMM50">[1]Basic!$F$82</definedName>
    <definedName name="___MMM54" localSheetId="5">[1]Basic!$F$83</definedName>
    <definedName name="___MMM54">[1]Basic!$F$83</definedName>
    <definedName name="__123Graph_A" localSheetId="0" hidden="1">'[2]Buis beton'!#REF!</definedName>
    <definedName name="__123Graph_A" localSheetId="2" hidden="1">'[2]Buis beton'!#REF!</definedName>
    <definedName name="__123Graph_A" localSheetId="5" hidden="1">'[3]Buis beton'!#REF!</definedName>
    <definedName name="__123Graph_A" hidden="1">'[2]Buis beton'!#REF!</definedName>
    <definedName name="__123Graph_B" localSheetId="0" hidden="1">'[2]Buis beton'!#REF!</definedName>
    <definedName name="__123Graph_B" localSheetId="2" hidden="1">'[2]Buis beton'!#REF!</definedName>
    <definedName name="__123Graph_B" localSheetId="5" hidden="1">'[3]Buis beton'!#REF!</definedName>
    <definedName name="__123Graph_B" hidden="1">'[2]Buis beton'!#REF!</definedName>
    <definedName name="__123Graph_X" localSheetId="0" hidden="1">'[2]Buis beton'!#REF!</definedName>
    <definedName name="__123Graph_X" localSheetId="2" hidden="1">'[2]Buis beton'!#REF!</definedName>
    <definedName name="__123Graph_X" localSheetId="5" hidden="1">'[3]Buis beton'!#REF!</definedName>
    <definedName name="__123Graph_X" hidden="1">'[2]Buis beton'!#REF!</definedName>
    <definedName name="__DIV1" localSheetId="0">#REF!</definedName>
    <definedName name="__DIV1" localSheetId="2">#REF!</definedName>
    <definedName name="__DIV1">#REF!</definedName>
    <definedName name="__DIV10" localSheetId="0">#REF!</definedName>
    <definedName name="__DIV10" localSheetId="2">#REF!</definedName>
    <definedName name="__DIV10">#REF!</definedName>
    <definedName name="__DIV11" localSheetId="0">#REF!</definedName>
    <definedName name="__DIV11" localSheetId="2">#REF!</definedName>
    <definedName name="__DIV11">#REF!</definedName>
    <definedName name="__DIV2" localSheetId="0">#REF!</definedName>
    <definedName name="__DIV2" localSheetId="2">#REF!</definedName>
    <definedName name="__DIV2">#REF!</definedName>
    <definedName name="__DIV3" localSheetId="0">#REF!</definedName>
    <definedName name="__DIV3" localSheetId="2">#REF!</definedName>
    <definedName name="__DIV3">#REF!</definedName>
    <definedName name="__DIV4" localSheetId="0">#REF!</definedName>
    <definedName name="__DIV4" localSheetId="2">#REF!</definedName>
    <definedName name="__DIV4">#REF!</definedName>
    <definedName name="__DIV5" localSheetId="0">#REF!</definedName>
    <definedName name="__DIV5" localSheetId="2">#REF!</definedName>
    <definedName name="__DIV5">#REF!</definedName>
    <definedName name="__DIV6" localSheetId="0">#REF!</definedName>
    <definedName name="__DIV6" localSheetId="2">#REF!</definedName>
    <definedName name="__DIV6">#REF!</definedName>
    <definedName name="__DIV7" localSheetId="0">#REF!</definedName>
    <definedName name="__DIV7" localSheetId="2">#REF!</definedName>
    <definedName name="__DIV7">#REF!</definedName>
    <definedName name="__DIV8" localSheetId="0">#REF!</definedName>
    <definedName name="__DIV8" localSheetId="2">#REF!</definedName>
    <definedName name="__DIV8">#REF!</definedName>
    <definedName name="__DIV9" localSheetId="0">#REF!</definedName>
    <definedName name="__DIV9" localSheetId="2">#REF!</definedName>
    <definedName name="__DIV9">#REF!</definedName>
    <definedName name="__EEE01" localSheetId="5">[1]Alat!$AM$8</definedName>
    <definedName name="__EEE01">[1]Alat!$AM$8</definedName>
    <definedName name="__EEE02" localSheetId="5">[1]Alat!$AM$9</definedName>
    <definedName name="__EEE02">[1]Alat!$AM$9</definedName>
    <definedName name="__EEE03" localSheetId="5">[1]Alat!$AM$10</definedName>
    <definedName name="__EEE03">[1]Alat!$AM$10</definedName>
    <definedName name="__EEE04" localSheetId="5">[1]Alat!$AM$11</definedName>
    <definedName name="__EEE04">[1]Alat!$AM$11</definedName>
    <definedName name="__EEE05" localSheetId="5">[1]Alat!$AM$12</definedName>
    <definedName name="__EEE05">[1]Alat!$AM$12</definedName>
    <definedName name="__EEE06" localSheetId="5">[1]Alat!$AM$13</definedName>
    <definedName name="__EEE06">[1]Alat!$AM$13</definedName>
    <definedName name="__EEE07" localSheetId="5">[1]Alat!$AM$14</definedName>
    <definedName name="__EEE07">[1]Alat!$AM$14</definedName>
    <definedName name="__EEE08" localSheetId="5">[1]Alat!$AM$15</definedName>
    <definedName name="__EEE08">[1]Alat!$AM$15</definedName>
    <definedName name="__EEE09" localSheetId="5">[1]Alat!$AM$16</definedName>
    <definedName name="__EEE09">[1]Alat!$AM$16</definedName>
    <definedName name="__EEE10" localSheetId="5">[1]Alat!$AM$17</definedName>
    <definedName name="__EEE10">[1]Alat!$AM$17</definedName>
    <definedName name="__EEE11" localSheetId="5">[1]Alat!$AM$18</definedName>
    <definedName name="__EEE11">[1]Alat!$AM$18</definedName>
    <definedName name="__EEE12" localSheetId="5">[1]Alat!$AM$19</definedName>
    <definedName name="__EEE12">[1]Alat!$AM$19</definedName>
    <definedName name="__EEE13" localSheetId="5">[1]Alat!$AM$20</definedName>
    <definedName name="__EEE13">[1]Alat!$AM$20</definedName>
    <definedName name="__EEE14" localSheetId="5">[1]Alat!$AM$21</definedName>
    <definedName name="__EEE14">[1]Alat!$AM$21</definedName>
    <definedName name="__EEE15" localSheetId="5">[1]Alat!$AM$22</definedName>
    <definedName name="__EEE15">[1]Alat!$AM$22</definedName>
    <definedName name="__EEE16" localSheetId="5">[1]Alat!$AM$23</definedName>
    <definedName name="__EEE16">[1]Alat!$AM$23</definedName>
    <definedName name="__EEE17" localSheetId="5">[1]Alat!$AM$24</definedName>
    <definedName name="__EEE17">[1]Alat!$AM$24</definedName>
    <definedName name="__EEE18" localSheetId="5">[1]Alat!$AM$25</definedName>
    <definedName name="__EEE18">[1]Alat!$AM$25</definedName>
    <definedName name="__EEE19" localSheetId="5">[1]Alat!$AM$26</definedName>
    <definedName name="__EEE19">[1]Alat!$AM$26</definedName>
    <definedName name="__EEE20" localSheetId="5">[1]Alat!$AM$27</definedName>
    <definedName name="__EEE20">[1]Alat!$AM$27</definedName>
    <definedName name="__EEE21" localSheetId="5">[1]Alat!$AM$28</definedName>
    <definedName name="__EEE21">[1]Alat!$AM$28</definedName>
    <definedName name="__EEE22" localSheetId="5">[1]Alat!$AM$29</definedName>
    <definedName name="__EEE22">[1]Alat!$AM$29</definedName>
    <definedName name="__EEE23" localSheetId="5">[1]Alat!$AM$30</definedName>
    <definedName name="__EEE23">[1]Alat!$AM$30</definedName>
    <definedName name="__EEE24" localSheetId="5">[1]Alat!$AM$31</definedName>
    <definedName name="__EEE24">[1]Alat!$AM$31</definedName>
    <definedName name="__EEE25" localSheetId="5">[1]Alat!$AM$32</definedName>
    <definedName name="__EEE25">[1]Alat!$AM$32</definedName>
    <definedName name="__EEE26" localSheetId="5">[1]Alat!$AM$33</definedName>
    <definedName name="__EEE26">[1]Alat!$AM$33</definedName>
    <definedName name="__EEE27" localSheetId="5">[1]Alat!$AM$34</definedName>
    <definedName name="__EEE27">[1]Alat!$AM$34</definedName>
    <definedName name="__EEE28" localSheetId="5">[1]Alat!$AM$35</definedName>
    <definedName name="__EEE28">[1]Alat!$AM$35</definedName>
    <definedName name="__EEE29" localSheetId="5">[1]Alat!$AM$36</definedName>
    <definedName name="__EEE29">[1]Alat!$AM$36</definedName>
    <definedName name="__EEE30" localSheetId="5">[1]Alat!$AM$37</definedName>
    <definedName name="__EEE30">[1]Alat!$AM$37</definedName>
    <definedName name="__EEE31" localSheetId="5">[1]Alat!$AM$38</definedName>
    <definedName name="__EEE31">[1]Alat!$AM$38</definedName>
    <definedName name="__EEE32" localSheetId="5">[1]Alat!$AM$39</definedName>
    <definedName name="__EEE32">[1]Alat!$AM$39</definedName>
    <definedName name="__EEE33" localSheetId="5">[1]Alat!$AM$40</definedName>
    <definedName name="__EEE33">[1]Alat!$AM$40</definedName>
    <definedName name="__HAL1" localSheetId="0">#REF!</definedName>
    <definedName name="__HAL1" localSheetId="2">#REF!</definedName>
    <definedName name="__HAL1">#REF!</definedName>
    <definedName name="__HAL2" localSheetId="0">#REF!</definedName>
    <definedName name="__HAL2" localSheetId="2">#REF!</definedName>
    <definedName name="__HAL2">#REF!</definedName>
    <definedName name="__HAL3" localSheetId="0">#REF!</definedName>
    <definedName name="__HAL3" localSheetId="2">#REF!</definedName>
    <definedName name="__HAL3">#REF!</definedName>
    <definedName name="__HAL4" localSheetId="0">#REF!</definedName>
    <definedName name="__HAL4" localSheetId="2">#REF!</definedName>
    <definedName name="__HAL4">#REF!</definedName>
    <definedName name="__HAL5" localSheetId="0">#REF!</definedName>
    <definedName name="__HAL5" localSheetId="2">#REF!</definedName>
    <definedName name="__HAL5">#REF!</definedName>
    <definedName name="__HAL6" localSheetId="0">#REF!</definedName>
    <definedName name="__HAL6" localSheetId="2">#REF!</definedName>
    <definedName name="__HAL6">#REF!</definedName>
    <definedName name="__HAL7" localSheetId="0">#REF!</definedName>
    <definedName name="__HAL7" localSheetId="2">#REF!</definedName>
    <definedName name="__HAL7">#REF!</definedName>
    <definedName name="__HAL8" localSheetId="0">#REF!</definedName>
    <definedName name="__HAL8" localSheetId="2">#REF!</definedName>
    <definedName name="__HAL8">#REF!</definedName>
    <definedName name="__LLL01" localSheetId="5">[1]Basic!$F$8</definedName>
    <definedName name="__LLL01">[1]Basic!$F$8</definedName>
    <definedName name="__LLL02" localSheetId="5">[1]Basic!$F$10</definedName>
    <definedName name="__LLL02">[1]Basic!$F$10</definedName>
    <definedName name="__LLL03" localSheetId="5">[1]Basic!$F$12</definedName>
    <definedName name="__LLL03">[1]Basic!$F$12</definedName>
    <definedName name="__LLL04" localSheetId="5">[1]Basic!$F$14</definedName>
    <definedName name="__LLL04">[1]Basic!$F$14</definedName>
    <definedName name="__LLL05" localSheetId="5">[1]Basic!$F$16</definedName>
    <definedName name="__LLL05">[1]Basic!$F$16</definedName>
    <definedName name="__LLL06" localSheetId="5">[1]Basic!$F$18</definedName>
    <definedName name="__LLL06">[1]Basic!$F$18</definedName>
    <definedName name="__LLL07" localSheetId="5">[1]Basic!$F$20</definedName>
    <definedName name="__LLL07">[1]Basic!$F$20</definedName>
    <definedName name="__LLL08" localSheetId="5">[1]Basic!$F$22</definedName>
    <definedName name="__LLL08">[1]Basic!$F$22</definedName>
    <definedName name="__LLL09" localSheetId="5">[1]Basic!$F$24</definedName>
    <definedName name="__LLL09">[1]Basic!$F$24</definedName>
    <definedName name="__LLL10" localSheetId="5">[1]Basic!$F$26</definedName>
    <definedName name="__LLL10">[1]Basic!$F$26</definedName>
    <definedName name="__LLL11" localSheetId="5">[1]Basic!$F$28</definedName>
    <definedName name="__LLL11">[1]Basic!$F$28</definedName>
    <definedName name="__MMM01" localSheetId="5">[1]Basic!$F$40</definedName>
    <definedName name="__MMM01">[1]Basic!$F$40</definedName>
    <definedName name="__MMM02" localSheetId="5">[1]Basic!$F$41</definedName>
    <definedName name="__MMM02">[1]Basic!$F$41</definedName>
    <definedName name="__MMM03" localSheetId="5">[1]Basic!$F$42</definedName>
    <definedName name="__MMM03">[1]Basic!$F$42</definedName>
    <definedName name="__MMM04" localSheetId="5">[1]Basic!$F$44</definedName>
    <definedName name="__MMM04">[1]Basic!$F$44</definedName>
    <definedName name="__MMM05" localSheetId="5">[1]Basic!$F$46</definedName>
    <definedName name="__MMM05">[1]Basic!$F$46</definedName>
    <definedName name="__MMM06" localSheetId="5">[1]Basic!$F$47</definedName>
    <definedName name="__MMM06">[1]Basic!$F$47</definedName>
    <definedName name="__MMM07" localSheetId="5">[1]Basic!$F$50</definedName>
    <definedName name="__MMM07">[1]Basic!$F$50</definedName>
    <definedName name="__MMM08" localSheetId="5">[1]Basic!$F$51</definedName>
    <definedName name="__MMM08">[1]Basic!$F$51</definedName>
    <definedName name="__MMM09" localSheetId="5">[1]Basic!$F$52</definedName>
    <definedName name="__MMM09">[1]Basic!$F$52</definedName>
    <definedName name="__MMM10" localSheetId="5">[1]Basic!$F$53</definedName>
    <definedName name="__MMM10">[1]Basic!$F$53</definedName>
    <definedName name="__MMM11" localSheetId="5">[1]Basic!$F$54</definedName>
    <definedName name="__MMM11">[1]Basic!$F$54</definedName>
    <definedName name="__MMM12" localSheetId="5">[1]Basic!$F$55</definedName>
    <definedName name="__MMM12">[1]Basic!$F$55</definedName>
    <definedName name="__MMM13" localSheetId="5">[1]Basic!$F$57</definedName>
    <definedName name="__MMM13">[1]Basic!$F$57</definedName>
    <definedName name="__MMM14" localSheetId="5">[1]Basic!$F$58</definedName>
    <definedName name="__MMM14">[1]Basic!$F$58</definedName>
    <definedName name="__MMM15" localSheetId="5">[1]Basic!$F$59</definedName>
    <definedName name="__MMM15">[1]Basic!$F$59</definedName>
    <definedName name="__MMM16" localSheetId="5">[1]Basic!$F$60</definedName>
    <definedName name="__MMM16">[1]Basic!$F$60</definedName>
    <definedName name="__MMM17" localSheetId="5">[1]Basic!$F$61</definedName>
    <definedName name="__MMM17">[1]Basic!$F$61</definedName>
    <definedName name="__MMM18" localSheetId="5">[1]Basic!$F$63</definedName>
    <definedName name="__MMM18">[1]Basic!$F$63</definedName>
    <definedName name="__MMM19" localSheetId="5">[1]Basic!$F$64</definedName>
    <definedName name="__MMM19">[1]Basic!$F$64</definedName>
    <definedName name="__MMM20" localSheetId="5">[1]Basic!$F$65</definedName>
    <definedName name="__MMM20">[1]Basic!$F$65</definedName>
    <definedName name="__MMM21" localSheetId="5">[1]Basic!$F$66</definedName>
    <definedName name="__MMM21">[1]Basic!$F$66</definedName>
    <definedName name="__MMM22" localSheetId="5">[1]Basic!$F$67</definedName>
    <definedName name="__MMM22">[1]Basic!$F$67</definedName>
    <definedName name="__MMM23" localSheetId="5">[1]Basic!$F$68</definedName>
    <definedName name="__MMM23">[1]Basic!$F$68</definedName>
    <definedName name="__MMM24" localSheetId="5">[1]Basic!$F$69</definedName>
    <definedName name="__MMM24">[1]Basic!$F$69</definedName>
    <definedName name="__MMM25" localSheetId="0">[1]Basic!#REF!</definedName>
    <definedName name="__MMM25" localSheetId="2">[1]Basic!#REF!</definedName>
    <definedName name="__MMM25" localSheetId="5">[1]Basic!#REF!</definedName>
    <definedName name="__MMM25">[1]Basic!#REF!</definedName>
    <definedName name="__MMM26" localSheetId="0">[1]Basic!#REF!</definedName>
    <definedName name="__MMM26" localSheetId="2">[1]Basic!#REF!</definedName>
    <definedName name="__MMM26" localSheetId="5">[1]Basic!#REF!</definedName>
    <definedName name="__MMM26">[1]Basic!#REF!</definedName>
    <definedName name="__MMM27" localSheetId="0">[1]Basic!#REF!</definedName>
    <definedName name="__MMM27" localSheetId="2">[1]Basic!#REF!</definedName>
    <definedName name="__MMM27" localSheetId="5">[1]Basic!#REF!</definedName>
    <definedName name="__MMM27">[1]Basic!#REF!</definedName>
    <definedName name="__MMM28" localSheetId="0">[1]Basic!#REF!</definedName>
    <definedName name="__MMM28" localSheetId="2">[1]Basic!#REF!</definedName>
    <definedName name="__MMM28" localSheetId="5">[1]Basic!#REF!</definedName>
    <definedName name="__MMM28">[1]Basic!#REF!</definedName>
    <definedName name="__MMM29" localSheetId="0">[1]Basic!#REF!</definedName>
    <definedName name="__MMM29" localSheetId="2">[1]Basic!#REF!</definedName>
    <definedName name="__MMM29" localSheetId="5">[1]Basic!#REF!</definedName>
    <definedName name="__MMM29">[1]Basic!#REF!</definedName>
    <definedName name="__MMM30" localSheetId="0">[1]Basic!#REF!</definedName>
    <definedName name="__MMM30" localSheetId="2">[1]Basic!#REF!</definedName>
    <definedName name="__MMM30" localSheetId="5">[1]Basic!#REF!</definedName>
    <definedName name="__MMM30">[1]Basic!#REF!</definedName>
    <definedName name="__MMM31" localSheetId="0">[1]Basic!#REF!</definedName>
    <definedName name="__MMM31" localSheetId="2">[1]Basic!#REF!</definedName>
    <definedName name="__MMM31" localSheetId="5">[1]Basic!#REF!</definedName>
    <definedName name="__MMM31">[1]Basic!#REF!</definedName>
    <definedName name="__MMM32" localSheetId="5">[1]Basic!$F$71</definedName>
    <definedName name="__MMM32">[1]Basic!$F$71</definedName>
    <definedName name="__MMM33" localSheetId="0">[1]Basic!#REF!</definedName>
    <definedName name="__MMM33" localSheetId="2">[1]Basic!#REF!</definedName>
    <definedName name="__MMM33" localSheetId="5">[1]Basic!#REF!</definedName>
    <definedName name="__MMM33">[1]Basic!#REF!</definedName>
    <definedName name="__MMM34" localSheetId="0">[1]Basic!#REF!</definedName>
    <definedName name="__MMM34" localSheetId="2">[1]Basic!#REF!</definedName>
    <definedName name="__MMM34" localSheetId="5">[1]Basic!#REF!</definedName>
    <definedName name="__MMM34">[1]Basic!#REF!</definedName>
    <definedName name="__MMM35" localSheetId="5">[1]Basic!$F$72</definedName>
    <definedName name="__MMM35">[1]Basic!$F$72</definedName>
    <definedName name="__MMM36" localSheetId="5">[1]Basic!$F$74</definedName>
    <definedName name="__MMM36">[1]Basic!$F$74</definedName>
    <definedName name="__MMM37" localSheetId="5">[1]Basic!$F$75</definedName>
    <definedName name="__MMM37">[1]Basic!$F$75</definedName>
    <definedName name="__MMM38" localSheetId="5">[1]Basic!$F$76</definedName>
    <definedName name="__MMM38">[1]Basic!$F$76</definedName>
    <definedName name="__MMM39" localSheetId="5">[1]Basic!$F$77</definedName>
    <definedName name="__MMM39">[1]Basic!$F$77</definedName>
    <definedName name="__MMM40" localSheetId="0">[1]Basic!#REF!</definedName>
    <definedName name="__MMM40" localSheetId="2">[1]Basic!#REF!</definedName>
    <definedName name="__MMM40" localSheetId="5">[1]Basic!#REF!</definedName>
    <definedName name="__MMM40">[1]Basic!#REF!</definedName>
    <definedName name="__MMM41" localSheetId="0">[1]Basic!#REF!</definedName>
    <definedName name="__MMM41" localSheetId="2">[1]Basic!#REF!</definedName>
    <definedName name="__MMM41" localSheetId="5">[1]Basic!#REF!</definedName>
    <definedName name="__MMM41">[1]Basic!#REF!</definedName>
    <definedName name="__MMM411" localSheetId="0">[1]Basic!#REF!</definedName>
    <definedName name="__MMM411" localSheetId="2">[1]Basic!#REF!</definedName>
    <definedName name="__MMM411" localSheetId="5">[1]Basic!#REF!</definedName>
    <definedName name="__MMM411">[1]Basic!#REF!</definedName>
    <definedName name="__MMM42" localSheetId="0">[1]Basic!#REF!</definedName>
    <definedName name="__MMM42" localSheetId="2">[1]Basic!#REF!</definedName>
    <definedName name="__MMM42" localSheetId="5">[1]Basic!#REF!</definedName>
    <definedName name="__MMM42">[1]Basic!#REF!</definedName>
    <definedName name="__MMM43" localSheetId="0">[1]Basic!#REF!</definedName>
    <definedName name="__MMM43" localSheetId="2">[1]Basic!#REF!</definedName>
    <definedName name="__MMM43" localSheetId="5">[1]Basic!#REF!</definedName>
    <definedName name="__MMM43">[1]Basic!#REF!</definedName>
    <definedName name="__MMM44" localSheetId="5">[1]Basic!$F$79</definedName>
    <definedName name="__MMM44">[1]Basic!$F$79</definedName>
    <definedName name="__MMM45" localSheetId="0">[1]Basic!#REF!</definedName>
    <definedName name="__MMM45" localSheetId="2">[1]Basic!#REF!</definedName>
    <definedName name="__MMM45" localSheetId="5">[1]Basic!#REF!</definedName>
    <definedName name="__MMM45">[1]Basic!#REF!</definedName>
    <definedName name="__MMM46" localSheetId="0">[1]Basic!#REF!</definedName>
    <definedName name="__MMM46" localSheetId="2">[1]Basic!#REF!</definedName>
    <definedName name="__MMM46" localSheetId="5">[1]Basic!#REF!</definedName>
    <definedName name="__MMM46">[1]Basic!#REF!</definedName>
    <definedName name="__MMM47" localSheetId="5">[1]Basic!$F$80</definedName>
    <definedName name="__MMM47">[1]Basic!$F$80</definedName>
    <definedName name="__MMM48" localSheetId="0">[1]Basic!#REF!</definedName>
    <definedName name="__MMM48" localSheetId="2">[1]Basic!#REF!</definedName>
    <definedName name="__MMM48" localSheetId="5">[1]Basic!#REF!</definedName>
    <definedName name="__MMM48">[1]Basic!#REF!</definedName>
    <definedName name="__MMM49" localSheetId="5">[1]Basic!$F$81</definedName>
    <definedName name="__MMM49">[1]Basic!$F$81</definedName>
    <definedName name="__MMM50" localSheetId="5">[1]Basic!$F$82</definedName>
    <definedName name="__MMM50">[1]Basic!$F$82</definedName>
    <definedName name="__MMM51" localSheetId="0">[1]Basic!#REF!</definedName>
    <definedName name="__MMM51" localSheetId="2">[1]Basic!#REF!</definedName>
    <definedName name="__MMM51" localSheetId="5">[1]Basic!#REF!</definedName>
    <definedName name="__MMM51">[1]Basic!#REF!</definedName>
    <definedName name="__MMM52" localSheetId="0">[1]Basic!#REF!</definedName>
    <definedName name="__MMM52" localSheetId="2">[1]Basic!#REF!</definedName>
    <definedName name="__MMM52" localSheetId="5">[1]Basic!#REF!</definedName>
    <definedName name="__MMM52">[1]Basic!#REF!</definedName>
    <definedName name="__MMM53" localSheetId="0">[1]Basic!#REF!</definedName>
    <definedName name="__MMM53" localSheetId="2">[1]Basic!#REF!</definedName>
    <definedName name="__MMM53" localSheetId="5">[1]Basic!#REF!</definedName>
    <definedName name="__MMM53">[1]Basic!#REF!</definedName>
    <definedName name="__MMM54" localSheetId="5">[1]Basic!$F$83</definedName>
    <definedName name="__MMM54">[1]Basic!$F$83</definedName>
    <definedName name="_818FA" localSheetId="0">#REF!</definedName>
    <definedName name="_818FA" localSheetId="2">#REF!</definedName>
    <definedName name="_818FA">#REF!</definedName>
    <definedName name="_818PK" localSheetId="0">#REF!</definedName>
    <definedName name="_818PK" localSheetId="2">#REF!</definedName>
    <definedName name="_818PK">#REF!</definedName>
    <definedName name="_DIV1" localSheetId="0">#REF!</definedName>
    <definedName name="_DIV1" localSheetId="2">#REF!</definedName>
    <definedName name="_DIV1">#REF!</definedName>
    <definedName name="_DIV10" localSheetId="0">#REF!</definedName>
    <definedName name="_DIV10" localSheetId="2">#REF!</definedName>
    <definedName name="_DIV10">#REF!</definedName>
    <definedName name="_DIV11" localSheetId="0">#REF!</definedName>
    <definedName name="_DIV11" localSheetId="2">#REF!</definedName>
    <definedName name="_DIV11">#REF!</definedName>
    <definedName name="_DIV2" localSheetId="0">#REF!</definedName>
    <definedName name="_DIV2" localSheetId="2">#REF!</definedName>
    <definedName name="_DIV2">#REF!</definedName>
    <definedName name="_DIV3" localSheetId="0">#REF!</definedName>
    <definedName name="_DIV3" localSheetId="2">#REF!</definedName>
    <definedName name="_DIV3">#REF!</definedName>
    <definedName name="_DIV4" localSheetId="0">#REF!</definedName>
    <definedName name="_DIV4" localSheetId="2">#REF!</definedName>
    <definedName name="_DIV4">#REF!</definedName>
    <definedName name="_DIV5" localSheetId="0">#REF!</definedName>
    <definedName name="_DIV5" localSheetId="2">#REF!</definedName>
    <definedName name="_DIV5">#REF!</definedName>
    <definedName name="_DIV6" localSheetId="0">#REF!</definedName>
    <definedName name="_DIV6" localSheetId="2">#REF!</definedName>
    <definedName name="_DIV6">#REF!</definedName>
    <definedName name="_DIV7" localSheetId="0">#REF!</definedName>
    <definedName name="_DIV7" localSheetId="2">#REF!</definedName>
    <definedName name="_DIV7">#REF!</definedName>
    <definedName name="_DIV8" localSheetId="0">#REF!</definedName>
    <definedName name="_DIV8" localSheetId="2">#REF!</definedName>
    <definedName name="_DIV8">#REF!</definedName>
    <definedName name="_DIV9" localSheetId="0">#REF!</definedName>
    <definedName name="_DIV9" localSheetId="2">#REF!</definedName>
    <definedName name="_DIV9">#REF!</definedName>
    <definedName name="_EEE01" localSheetId="5">[4]Alat!$AM$8</definedName>
    <definedName name="_EEE01">[5]Alat!$AM$8</definedName>
    <definedName name="_EEE02" localSheetId="5">[4]Alat!$AM$9</definedName>
    <definedName name="_EEE02">[5]Alat!$AM$9</definedName>
    <definedName name="_EEE03" localSheetId="5">[4]Alat!$AM$10</definedName>
    <definedName name="_EEE03">[5]Alat!$AM$10</definedName>
    <definedName name="_EEE04" localSheetId="5">[4]Alat!$AM$11</definedName>
    <definedName name="_EEE04">[5]Alat!$AM$11</definedName>
    <definedName name="_EEE05" localSheetId="5">[4]Alat!$AM$12</definedName>
    <definedName name="_EEE05">[5]Alat!$AM$12</definedName>
    <definedName name="_EEE06" localSheetId="5">[4]Alat!$AM$13</definedName>
    <definedName name="_EEE06">[5]Alat!$AM$13</definedName>
    <definedName name="_EEE07" localSheetId="5">[4]Alat!$AM$14</definedName>
    <definedName name="_EEE07">[5]Alat!$AM$14</definedName>
    <definedName name="_EEE08" localSheetId="5">[4]Alat!$AM$15</definedName>
    <definedName name="_EEE08">[5]Alat!$AM$15</definedName>
    <definedName name="_EEE09" localSheetId="5">[4]Alat!$AM$16</definedName>
    <definedName name="_EEE09">[5]Alat!$AM$16</definedName>
    <definedName name="_EEE10" localSheetId="5">[4]Alat!$AM$17</definedName>
    <definedName name="_EEE10">[5]Alat!$AM$17</definedName>
    <definedName name="_EEE11" localSheetId="5">[4]Alat!$AM$18</definedName>
    <definedName name="_EEE11">[5]Alat!$AM$18</definedName>
    <definedName name="_EEE12" localSheetId="5">[4]Alat!$AM$19</definedName>
    <definedName name="_EEE12">[5]Alat!$AM$19</definedName>
    <definedName name="_EEE13" localSheetId="5">[4]Alat!$AM$20</definedName>
    <definedName name="_EEE13">[5]Alat!$AM$20</definedName>
    <definedName name="_EEE14" localSheetId="5">[4]Alat!$AM$21</definedName>
    <definedName name="_EEE14">[5]Alat!$AM$21</definedName>
    <definedName name="_EEE15" localSheetId="5">[4]Alat!$AM$22</definedName>
    <definedName name="_EEE15">[5]Alat!$AM$22</definedName>
    <definedName name="_EEE16" localSheetId="5">[4]Alat!$AM$23</definedName>
    <definedName name="_EEE16">[5]Alat!$AM$23</definedName>
    <definedName name="_EEE17" localSheetId="5">[4]Alat!$AM$24</definedName>
    <definedName name="_EEE17">[5]Alat!$AM$24</definedName>
    <definedName name="_EEE18" localSheetId="5">[4]Alat!$AM$25</definedName>
    <definedName name="_EEE18">[5]Alat!$AM$25</definedName>
    <definedName name="_EEE19" localSheetId="5">[4]Alat!$AM$26</definedName>
    <definedName name="_EEE19">[5]Alat!$AM$26</definedName>
    <definedName name="_EEE20" localSheetId="5">[4]Alat!$AM$27</definedName>
    <definedName name="_EEE20">[5]Alat!$AM$27</definedName>
    <definedName name="_EEE21" localSheetId="5">[4]Alat!$AM$28</definedName>
    <definedName name="_EEE21">[5]Alat!$AM$28</definedName>
    <definedName name="_EEE22" localSheetId="5">[4]Alat!$AM$29</definedName>
    <definedName name="_EEE22">[5]Alat!$AM$29</definedName>
    <definedName name="_EEE23" localSheetId="5">[4]Alat!$AM$30</definedName>
    <definedName name="_EEE23">[5]Alat!$AM$30</definedName>
    <definedName name="_EEE24" localSheetId="5">[4]Alat!$AM$31</definedName>
    <definedName name="_EEE24">[5]Alat!$AM$31</definedName>
    <definedName name="_EEE25" localSheetId="5">[4]Alat!$AM$32</definedName>
    <definedName name="_EEE25">[5]Alat!$AM$32</definedName>
    <definedName name="_EEE26" localSheetId="5">[4]Alat!$AM$33</definedName>
    <definedName name="_EEE26">[5]Alat!$AM$33</definedName>
    <definedName name="_EEE27" localSheetId="5">[4]Alat!$AM$34</definedName>
    <definedName name="_EEE27">[5]Alat!$AM$34</definedName>
    <definedName name="_EEE28" localSheetId="5">[4]Alat!$AM$35</definedName>
    <definedName name="_EEE28">[5]Alat!$AM$35</definedName>
    <definedName name="_EEE29" localSheetId="5">[4]Alat!$AM$36</definedName>
    <definedName name="_EEE29">[5]Alat!$AM$36</definedName>
    <definedName name="_EEE30" localSheetId="5">[4]Alat!$AM$37</definedName>
    <definedName name="_EEE30">[5]Alat!$AM$37</definedName>
    <definedName name="_EEE31" localSheetId="5">[4]Alat!$AM$38</definedName>
    <definedName name="_EEE31">[5]Alat!$AM$38</definedName>
    <definedName name="_EEE32" localSheetId="5">[4]Alat!$AM$39</definedName>
    <definedName name="_EEE32">[5]Alat!$AM$39</definedName>
    <definedName name="_EEE33" localSheetId="5">[4]Alat!$AM$40</definedName>
    <definedName name="_EEE33">[5]Alat!$AM$40</definedName>
    <definedName name="_xlnm._FilterDatabase" localSheetId="0" hidden="1">'DD1-2020'!$A$12:$AG$12</definedName>
    <definedName name="_HAL1" localSheetId="0">#REF!</definedName>
    <definedName name="_HAL1" localSheetId="2">#REF!</definedName>
    <definedName name="_HAL1">#REF!</definedName>
    <definedName name="_HAL2" localSheetId="0">#REF!</definedName>
    <definedName name="_HAL2" localSheetId="2">#REF!</definedName>
    <definedName name="_HAL2">#REF!</definedName>
    <definedName name="_HAL3" localSheetId="0">#REF!</definedName>
    <definedName name="_HAL3" localSheetId="2">#REF!</definedName>
    <definedName name="_HAL3">#REF!</definedName>
    <definedName name="_HAL4" localSheetId="0">#REF!</definedName>
    <definedName name="_HAL4" localSheetId="2">#REF!</definedName>
    <definedName name="_HAL4">#REF!</definedName>
    <definedName name="_HAL5" localSheetId="0">#REF!</definedName>
    <definedName name="_HAL5" localSheetId="2">#REF!</definedName>
    <definedName name="_HAL5">#REF!</definedName>
    <definedName name="_HAL6" localSheetId="0">#REF!</definedName>
    <definedName name="_HAL6" localSheetId="2">#REF!</definedName>
    <definedName name="_HAL6">#REF!</definedName>
    <definedName name="_HAL7" localSheetId="0">#REF!</definedName>
    <definedName name="_HAL7" localSheetId="2">#REF!</definedName>
    <definedName name="_HAL7">#REF!</definedName>
    <definedName name="_HAL8" localSheetId="0">#REF!</definedName>
    <definedName name="_HAL8" localSheetId="2">#REF!</definedName>
    <definedName name="_HAL8">#REF!</definedName>
    <definedName name="_LLL01" localSheetId="5">[4]Basic!$F$8</definedName>
    <definedName name="_LLL01">[5]Basic!$F$8</definedName>
    <definedName name="_LLL02" localSheetId="5">[4]Basic!$F$10</definedName>
    <definedName name="_LLL02">[5]Basic!$F$10</definedName>
    <definedName name="_LLL03" localSheetId="5">[4]Basic!$F$12</definedName>
    <definedName name="_LLL03">[5]Basic!$F$12</definedName>
    <definedName name="_LLL04" localSheetId="5">[4]Basic!$F$14</definedName>
    <definedName name="_LLL04">[5]Basic!$F$14</definedName>
    <definedName name="_LLL05" localSheetId="5">[4]Basic!$F$16</definedName>
    <definedName name="_LLL05">[5]Basic!$F$16</definedName>
    <definedName name="_LLL06" localSheetId="5">[4]Basic!$F$18</definedName>
    <definedName name="_LLL06">[5]Basic!$F$18</definedName>
    <definedName name="_LLL07" localSheetId="5">[4]Basic!$F$20</definedName>
    <definedName name="_LLL07">[5]Basic!$F$20</definedName>
    <definedName name="_LLL08" localSheetId="5">[4]Basic!$F$22</definedName>
    <definedName name="_LLL08">[5]Basic!$F$22</definedName>
    <definedName name="_LLL09" localSheetId="5">[4]Basic!$F$24</definedName>
    <definedName name="_LLL09">[5]Basic!$F$24</definedName>
    <definedName name="_LLL10" localSheetId="5">[4]Basic!$F$26</definedName>
    <definedName name="_LLL10">[5]Basic!$F$26</definedName>
    <definedName name="_LLL11" localSheetId="5">[4]Basic!$F$28</definedName>
    <definedName name="_LLL11">[5]Basic!$F$28</definedName>
    <definedName name="_MMM01" localSheetId="5">[4]Basic!$F$40</definedName>
    <definedName name="_MMM01">[5]Basic!$F$40</definedName>
    <definedName name="_MMM02" localSheetId="5">[4]Basic!$F$41</definedName>
    <definedName name="_MMM02">[5]Basic!$F$41</definedName>
    <definedName name="_MMM03" localSheetId="5">[4]Basic!$F$42</definedName>
    <definedName name="_MMM03">[5]Basic!$F$42</definedName>
    <definedName name="_MMM04" localSheetId="5">[4]Basic!$F$44</definedName>
    <definedName name="_MMM04">[5]Basic!$F$44</definedName>
    <definedName name="_MMM05" localSheetId="5">[4]Basic!$F$46</definedName>
    <definedName name="_MMM05">[5]Basic!$F$46</definedName>
    <definedName name="_MMM06" localSheetId="5">[4]Basic!$F$47</definedName>
    <definedName name="_MMM06">[5]Basic!$F$47</definedName>
    <definedName name="_MMM07" localSheetId="5">[4]Basic!$F$50</definedName>
    <definedName name="_MMM07">[5]Basic!$F$50</definedName>
    <definedName name="_MMM08" localSheetId="5">[4]Basic!$F$51</definedName>
    <definedName name="_MMM08">[5]Basic!$F$51</definedName>
    <definedName name="_MMM09" localSheetId="5">[4]Basic!$F$52</definedName>
    <definedName name="_MMM09">[5]Basic!$F$52</definedName>
    <definedName name="_MMM10" localSheetId="5">[4]Basic!$F$53</definedName>
    <definedName name="_MMM10">[5]Basic!$F$53</definedName>
    <definedName name="_MMM11" localSheetId="5">[4]Basic!$F$54</definedName>
    <definedName name="_MMM11">[5]Basic!$F$54</definedName>
    <definedName name="_MMM12" localSheetId="5">[4]Basic!$F$55</definedName>
    <definedName name="_MMM12">[5]Basic!$F$55</definedName>
    <definedName name="_MMM13" localSheetId="5">[4]Basic!$F$57</definedName>
    <definedName name="_MMM13">[5]Basic!$F$57</definedName>
    <definedName name="_MMM14" localSheetId="5">[4]Basic!$F$58</definedName>
    <definedName name="_MMM14">[5]Basic!$F$58</definedName>
    <definedName name="_MMM15" localSheetId="5">[4]Basic!$F$59</definedName>
    <definedName name="_MMM15">[5]Basic!$F$59</definedName>
    <definedName name="_MMM16" localSheetId="5">[4]Basic!$F$60</definedName>
    <definedName name="_MMM16">[5]Basic!$F$60</definedName>
    <definedName name="_MMM17" localSheetId="5">[4]Basic!$F$61</definedName>
    <definedName name="_MMM17">[5]Basic!$F$61</definedName>
    <definedName name="_MMM18" localSheetId="5">[4]Basic!$F$63</definedName>
    <definedName name="_MMM18">[5]Basic!$F$63</definedName>
    <definedName name="_MMM19" localSheetId="5">[4]Basic!$F$64</definedName>
    <definedName name="_MMM19">[5]Basic!$F$64</definedName>
    <definedName name="_MMM20" localSheetId="5">[4]Basic!$F$65</definedName>
    <definedName name="_MMM20">[5]Basic!$F$65</definedName>
    <definedName name="_MMM21" localSheetId="5">[4]Basic!$F$66</definedName>
    <definedName name="_MMM21">[5]Basic!$F$66</definedName>
    <definedName name="_MMM22" localSheetId="5">[4]Basic!$F$67</definedName>
    <definedName name="_MMM22">[5]Basic!$F$67</definedName>
    <definedName name="_MMM23" localSheetId="5">[4]Basic!$F$68</definedName>
    <definedName name="_MMM23">[5]Basic!$F$68</definedName>
    <definedName name="_MMM24" localSheetId="5">[4]Basic!$F$69</definedName>
    <definedName name="_MMM24">[5]Basic!$F$69</definedName>
    <definedName name="_MMM25" localSheetId="0">[5]Basic!#REF!</definedName>
    <definedName name="_MMM25" localSheetId="2">[5]Basic!#REF!</definedName>
    <definedName name="_MMM25" localSheetId="5">[4]Basic!#REF!</definedName>
    <definedName name="_MMM25">[5]Basic!#REF!</definedName>
    <definedName name="_MMM26" localSheetId="0">[5]Basic!#REF!</definedName>
    <definedName name="_MMM26" localSheetId="2">[5]Basic!#REF!</definedName>
    <definedName name="_MMM26" localSheetId="5">[4]Basic!#REF!</definedName>
    <definedName name="_MMM26">[5]Basic!#REF!</definedName>
    <definedName name="_MMM27" localSheetId="0">[5]Basic!#REF!</definedName>
    <definedName name="_MMM27" localSheetId="2">[5]Basic!#REF!</definedName>
    <definedName name="_MMM27" localSheetId="5">[4]Basic!#REF!</definedName>
    <definedName name="_MMM27">[5]Basic!#REF!</definedName>
    <definedName name="_MMM28" localSheetId="0">[5]Basic!#REF!</definedName>
    <definedName name="_MMM28" localSheetId="2">[5]Basic!#REF!</definedName>
    <definedName name="_MMM28" localSheetId="5">[4]Basic!#REF!</definedName>
    <definedName name="_MMM28">[5]Basic!#REF!</definedName>
    <definedName name="_MMM29" localSheetId="0">[5]Basic!#REF!</definedName>
    <definedName name="_MMM29" localSheetId="2">[5]Basic!#REF!</definedName>
    <definedName name="_MMM29" localSheetId="5">[4]Basic!#REF!</definedName>
    <definedName name="_MMM29">[5]Basic!#REF!</definedName>
    <definedName name="_MMM30" localSheetId="0">[5]Basic!#REF!</definedName>
    <definedName name="_MMM30" localSheetId="2">[5]Basic!#REF!</definedName>
    <definedName name="_MMM30" localSheetId="5">[4]Basic!#REF!</definedName>
    <definedName name="_MMM30">[5]Basic!#REF!</definedName>
    <definedName name="_MMM31" localSheetId="0">[5]Basic!#REF!</definedName>
    <definedName name="_MMM31" localSheetId="2">[5]Basic!#REF!</definedName>
    <definedName name="_MMM31" localSheetId="5">[4]Basic!#REF!</definedName>
    <definedName name="_MMM31">[5]Basic!#REF!</definedName>
    <definedName name="_MMM32" localSheetId="5">[4]Basic!$F$71</definedName>
    <definedName name="_MMM32">[5]Basic!$F$71</definedName>
    <definedName name="_MMM33" localSheetId="0">[5]Basic!#REF!</definedName>
    <definedName name="_MMM33" localSheetId="2">[5]Basic!#REF!</definedName>
    <definedName name="_MMM33" localSheetId="5">[4]Basic!#REF!</definedName>
    <definedName name="_MMM33">[5]Basic!#REF!</definedName>
    <definedName name="_MMM34" localSheetId="0">[5]Basic!#REF!</definedName>
    <definedName name="_MMM34" localSheetId="2">[5]Basic!#REF!</definedName>
    <definedName name="_MMM34" localSheetId="5">[4]Basic!#REF!</definedName>
    <definedName name="_MMM34">[5]Basic!#REF!</definedName>
    <definedName name="_MMM35" localSheetId="5">[4]Basic!$F$72</definedName>
    <definedName name="_MMM35">[5]Basic!$F$72</definedName>
    <definedName name="_MMM36" localSheetId="5">[4]Basic!$F$74</definedName>
    <definedName name="_MMM36">[5]Basic!$F$74</definedName>
    <definedName name="_MMM37" localSheetId="5">[4]Basic!$F$75</definedName>
    <definedName name="_MMM37">[5]Basic!$F$75</definedName>
    <definedName name="_MMM38" localSheetId="5">[4]Basic!$F$76</definedName>
    <definedName name="_MMM38">[5]Basic!$F$76</definedName>
    <definedName name="_MMM39" localSheetId="5">[4]Basic!$F$77</definedName>
    <definedName name="_MMM39">[5]Basic!$F$77</definedName>
    <definedName name="_MMM40" localSheetId="0">[5]Basic!#REF!</definedName>
    <definedName name="_MMM40" localSheetId="2">[5]Basic!#REF!</definedName>
    <definedName name="_MMM40" localSheetId="5">[4]Basic!#REF!</definedName>
    <definedName name="_MMM40">[5]Basic!#REF!</definedName>
    <definedName name="_MMM41" localSheetId="0">[5]Basic!#REF!</definedName>
    <definedName name="_MMM41" localSheetId="2">[5]Basic!#REF!</definedName>
    <definedName name="_MMM41" localSheetId="5">[4]Basic!#REF!</definedName>
    <definedName name="_MMM41">[5]Basic!#REF!</definedName>
    <definedName name="_MMM411" localSheetId="0">[5]Basic!#REF!</definedName>
    <definedName name="_MMM411" localSheetId="2">[5]Basic!#REF!</definedName>
    <definedName name="_MMM411" localSheetId="5">[4]Basic!#REF!</definedName>
    <definedName name="_MMM411">[5]Basic!#REF!</definedName>
    <definedName name="_MMM42" localSheetId="0">[5]Basic!#REF!</definedName>
    <definedName name="_MMM42" localSheetId="2">[5]Basic!#REF!</definedName>
    <definedName name="_MMM42" localSheetId="5">[4]Basic!#REF!</definedName>
    <definedName name="_MMM42">[5]Basic!#REF!</definedName>
    <definedName name="_MMM43" localSheetId="0">[5]Basic!#REF!</definedName>
    <definedName name="_MMM43" localSheetId="2">[5]Basic!#REF!</definedName>
    <definedName name="_MMM43" localSheetId="5">[4]Basic!#REF!</definedName>
    <definedName name="_MMM43">[5]Basic!#REF!</definedName>
    <definedName name="_MMM44" localSheetId="5">[4]Basic!$F$79</definedName>
    <definedName name="_MMM44">[5]Basic!$F$79</definedName>
    <definedName name="_MMM45" localSheetId="0">[5]Basic!#REF!</definedName>
    <definedName name="_MMM45" localSheetId="2">[5]Basic!#REF!</definedName>
    <definedName name="_MMM45" localSheetId="5">[4]Basic!#REF!</definedName>
    <definedName name="_MMM45">[5]Basic!#REF!</definedName>
    <definedName name="_MMM46" localSheetId="0">[5]Basic!#REF!</definedName>
    <definedName name="_MMM46" localSheetId="2">[5]Basic!#REF!</definedName>
    <definedName name="_MMM46" localSheetId="5">[4]Basic!#REF!</definedName>
    <definedName name="_MMM46">[5]Basic!#REF!</definedName>
    <definedName name="_MMM47" localSheetId="5">[4]Basic!$F$80</definedName>
    <definedName name="_MMM47">[5]Basic!$F$80</definedName>
    <definedName name="_MMM48" localSheetId="0">[5]Basic!#REF!</definedName>
    <definedName name="_MMM48" localSheetId="2">[5]Basic!#REF!</definedName>
    <definedName name="_MMM48" localSheetId="5">[4]Basic!#REF!</definedName>
    <definedName name="_MMM48">[5]Basic!#REF!</definedName>
    <definedName name="_MMM49" localSheetId="5">[4]Basic!$F$81</definedName>
    <definedName name="_MMM49">[5]Basic!$F$81</definedName>
    <definedName name="_MMM50" localSheetId="5">[4]Basic!$F$82</definedName>
    <definedName name="_MMM50">[5]Basic!$F$82</definedName>
    <definedName name="_MMM51" localSheetId="0">[5]Basic!#REF!</definedName>
    <definedName name="_MMM51" localSheetId="2">[5]Basic!#REF!</definedName>
    <definedName name="_MMM51" localSheetId="5">[4]Basic!#REF!</definedName>
    <definedName name="_MMM51">[5]Basic!#REF!</definedName>
    <definedName name="_MMM52" localSheetId="0">[5]Basic!#REF!</definedName>
    <definedName name="_MMM52" localSheetId="2">[5]Basic!#REF!</definedName>
    <definedName name="_MMM52" localSheetId="5">[4]Basic!#REF!</definedName>
    <definedName name="_MMM52">[5]Basic!#REF!</definedName>
    <definedName name="_MMM53" localSheetId="0">[5]Basic!#REF!</definedName>
    <definedName name="_MMM53" localSheetId="2">[5]Basic!#REF!</definedName>
    <definedName name="_MMM53" localSheetId="5">[4]Basic!#REF!</definedName>
    <definedName name="_MMM53">[5]Basic!#REF!</definedName>
    <definedName name="_MMM54" localSheetId="5">[4]Basic!$F$83</definedName>
    <definedName name="_MMM54">[5]Basic!$F$83</definedName>
    <definedName name="ABC" localSheetId="0">#REF!</definedName>
    <definedName name="ABC" localSheetId="2">#REF!</definedName>
    <definedName name="ABC">#REF!</definedName>
    <definedName name="AGREGAT" localSheetId="0">#REF!</definedName>
    <definedName name="AGREGAT" localSheetId="2">#REF!</definedName>
    <definedName name="AGREGAT">#REF!</definedName>
    <definedName name="ALATUTAMA" localSheetId="0">[5]Alat!#REF!</definedName>
    <definedName name="ALATUTAMA" localSheetId="2">[5]Alat!#REF!</definedName>
    <definedName name="ALATUTAMA" localSheetId="5">[4]Alat!#REF!</definedName>
    <definedName name="ALATUTAMA">[5]Alat!#REF!</definedName>
    <definedName name="AMP" localSheetId="0">[5]Alat!#REF!</definedName>
    <definedName name="AMP" localSheetId="2">[5]Alat!#REF!</definedName>
    <definedName name="AMP" localSheetId="5">[4]Alat!#REF!</definedName>
    <definedName name="AMP">[5]Alat!#REF!</definedName>
    <definedName name="ASPAL" localSheetId="0">#REF!</definedName>
    <definedName name="ASPAL" localSheetId="2">#REF!</definedName>
    <definedName name="ASPAL">#REF!</definedName>
    <definedName name="BAHU" localSheetId="0">#REF!</definedName>
    <definedName name="BAHU" localSheetId="2">#REF!</definedName>
    <definedName name="BAHU">#REF!</definedName>
    <definedName name="BATUBELAH" localSheetId="5">[4]Quary!$A$259:$H$351</definedName>
    <definedName name="BATUBELAH">[5]Quary!$A$259:$H$351</definedName>
    <definedName name="BATUKALI" localSheetId="5">[4]Quary!$A$149:$H$258</definedName>
    <definedName name="BATUKALI">[5]Quary!$A$149:$H$258</definedName>
    <definedName name="BULLDOZER" localSheetId="0">[5]Alat!#REF!</definedName>
    <definedName name="BULLDOZER" localSheetId="2">[5]Alat!#REF!</definedName>
    <definedName name="BULLDOZER" localSheetId="5">[4]Alat!#REF!</definedName>
    <definedName name="BULLDOZER">[5]Alat!#REF!</definedName>
    <definedName name="CLIRII" localSheetId="4">OFFSET([0]!CVIRII,0,-6)</definedName>
    <definedName name="CLIRII" localSheetId="0">OFFSET([0]!CVIRII,0,-6)</definedName>
    <definedName name="CLIRII" localSheetId="2">OFFSET('Form RCI 2'!CVIRII,0,-6)</definedName>
    <definedName name="CLIRII" localSheetId="5">OFFSET([0]!CVIRII,0,-6)</definedName>
    <definedName name="CLIRII">OFFSET([0]!CVIRII,0,-6)</definedName>
    <definedName name="CLKK2" localSheetId="4">OFFSET(Aspal!CVKK2,0,-1)</definedName>
    <definedName name="COMPRESSOR" localSheetId="0">[5]Alat!#REF!</definedName>
    <definedName name="COMPRESSOR" localSheetId="2">[5]Alat!#REF!</definedName>
    <definedName name="COMPRESSOR" localSheetId="5">[4]Alat!#REF!</definedName>
    <definedName name="COMPRESSOR">[5]Alat!#REF!</definedName>
    <definedName name="CONCRETEMIXER" localSheetId="0">[5]Alat!#REF!</definedName>
    <definedName name="CONCRETEMIXER" localSheetId="2">[5]Alat!#REF!</definedName>
    <definedName name="CONCRETEMIXER" localSheetId="5">[4]Alat!#REF!</definedName>
    <definedName name="CONCRETEMIXER">[5]Alat!#REF!</definedName>
    <definedName name="CONCRETEVIBRO" localSheetId="0">[5]Alat!#REF!</definedName>
    <definedName name="CONCRETEVIBRO" localSheetId="2">[5]Alat!#REF!</definedName>
    <definedName name="CONCRETEVIBRO" localSheetId="5">[4]Alat!#REF!</definedName>
    <definedName name="CONCRETEVIBRO">[5]Alat!#REF!</definedName>
    <definedName name="CRANE" localSheetId="0">[5]Alat!#REF!</definedName>
    <definedName name="CRANE" localSheetId="2">[5]Alat!#REF!</definedName>
    <definedName name="CRANE" localSheetId="5">[4]Alat!#REF!</definedName>
    <definedName name="CRANE">[5]Alat!#REF!</definedName>
    <definedName name="CVIRII" localSheetId="4">OFFSET(#REF!,0,0,COUNTA(#REF!),1)</definedName>
    <definedName name="CVIRII" localSheetId="2">OFFSET(#REF!,0,0,COUNTA(#REF!),1)</definedName>
    <definedName name="CVIRII">OFFSET(#REF!,0,0,COUNTA(#REF!),1)</definedName>
    <definedName name="CVKK2" localSheetId="4">OFFSET(#REF!,1,0,COUNTA(#REF!),1)</definedName>
    <definedName name="CVKK2" localSheetId="2">OFFSET(#REF!,1,0,COUNTA(#REF!),1)</definedName>
    <definedName name="CVKK2">OFFSET(#REF!,1,0,COUNTA(#REF!),1)</definedName>
    <definedName name="DAFTARSEWA" localSheetId="5">[4]Alat!$AE$1:$AN$49</definedName>
    <definedName name="DAFTARSEWA">[5]Alat!$AE$1:$AN$49</definedName>
    <definedName name="DAYWORKS" localSheetId="0">#REF!</definedName>
    <definedName name="DAYWORKS" localSheetId="2">#REF!</definedName>
    <definedName name="DAYWORKS">#REF!</definedName>
    <definedName name="DRAINASE" localSheetId="0">#REF!</definedName>
    <definedName name="DRAINASE" localSheetId="2">#REF!</definedName>
    <definedName name="DRAINASE">#REF!</definedName>
    <definedName name="DUMPTRUCK1" localSheetId="0">[5]Alat!#REF!</definedName>
    <definedName name="DUMPTRUCK1" localSheetId="2">[5]Alat!#REF!</definedName>
    <definedName name="DUMPTRUCK1" localSheetId="5">[4]Alat!#REF!</definedName>
    <definedName name="DUMPTRUCK1">[5]Alat!#REF!</definedName>
    <definedName name="DUMPTRUCK2" localSheetId="0">[5]Alat!#REF!</definedName>
    <definedName name="DUMPTRUCK2" localSheetId="2">[5]Alat!#REF!</definedName>
    <definedName name="DUMPTRUCK2" localSheetId="5">[4]Alat!#REF!</definedName>
    <definedName name="DUMPTRUCK2">[5]Alat!#REF!</definedName>
    <definedName name="EXCAVATOR" localSheetId="0">[5]Alat!#REF!</definedName>
    <definedName name="EXCAVATOR" localSheetId="2">[5]Alat!#REF!</definedName>
    <definedName name="EXCAVATOR" localSheetId="5">[4]Alat!#REF!</definedName>
    <definedName name="EXCAVATOR">[5]Alat!#REF!</definedName>
    <definedName name="FINISHER" localSheetId="0">[5]Alat!#REF!</definedName>
    <definedName name="FINISHER" localSheetId="2">[5]Alat!#REF!</definedName>
    <definedName name="FINISHER" localSheetId="5">[4]Alat!#REF!</definedName>
    <definedName name="FINISHER">[5]Alat!#REF!</definedName>
    <definedName name="FLATBEDTRUCK" localSheetId="0">[5]Alat!#REF!</definedName>
    <definedName name="FLATBEDTRUCK" localSheetId="2">[5]Alat!#REF!</definedName>
    <definedName name="FLATBEDTRUCK" localSheetId="5">[4]Alat!#REF!</definedName>
    <definedName name="FLATBEDTRUCK">[5]Alat!#REF!</definedName>
    <definedName name="FORM101" localSheetId="0">#REF!</definedName>
    <definedName name="FORM101" localSheetId="2">#REF!</definedName>
    <definedName name="FORM101">#REF!</definedName>
    <definedName name="FORM1021" localSheetId="0">#REF!</definedName>
    <definedName name="FORM1021" localSheetId="2">#REF!</definedName>
    <definedName name="FORM1021">#REF!</definedName>
    <definedName name="FORM1022" localSheetId="0">#REF!</definedName>
    <definedName name="FORM1022" localSheetId="2">#REF!</definedName>
    <definedName name="FORM1022">#REF!</definedName>
    <definedName name="FORM1031" localSheetId="0">#REF!</definedName>
    <definedName name="FORM1031" localSheetId="2">#REF!</definedName>
    <definedName name="FORM1031">#REF!</definedName>
    <definedName name="FORM1032" localSheetId="0">#REF!</definedName>
    <definedName name="FORM1032" localSheetId="2">#REF!</definedName>
    <definedName name="FORM1032">#REF!</definedName>
    <definedName name="FORM1041" localSheetId="0">#REF!</definedName>
    <definedName name="FORM1041" localSheetId="2">#REF!</definedName>
    <definedName name="FORM1041">#REF!</definedName>
    <definedName name="FORM1042" localSheetId="0">#REF!</definedName>
    <definedName name="FORM1042" localSheetId="2">#REF!</definedName>
    <definedName name="FORM1042">#REF!</definedName>
    <definedName name="FORM21" localSheetId="5">[4]Div.2!$L$1:$V$56</definedName>
    <definedName name="FORM21">[5]Div.2!$L$1:$V$56</definedName>
    <definedName name="FORM22E" localSheetId="5">[4]Div.2!$L$115:$V$171</definedName>
    <definedName name="FORM22E">[5]Div.2!$L$115:$V$171</definedName>
    <definedName name="FORM22L" localSheetId="5">[4]Div.2!$L$57:$V$113</definedName>
    <definedName name="FORM22L">[5]Div.2!$L$57:$V$113</definedName>
    <definedName name="FORM231" localSheetId="5">[4]Div.2!$L$172:$V$228</definedName>
    <definedName name="FORM231">[5]Div.2!$L$172:$V$228</definedName>
    <definedName name="FORM232" localSheetId="0">[5]Div.2!#REF!</definedName>
    <definedName name="FORM232" localSheetId="2">[5]Div.2!#REF!</definedName>
    <definedName name="FORM232" localSheetId="5">[4]Div.2!#REF!</definedName>
    <definedName name="FORM232">[5]Div.2!#REF!</definedName>
    <definedName name="FORM233" localSheetId="0">[5]Div.2!#REF!</definedName>
    <definedName name="FORM233" localSheetId="2">[5]Div.2!#REF!</definedName>
    <definedName name="FORM233" localSheetId="5">[4]Div.2!#REF!</definedName>
    <definedName name="FORM233">[5]Div.2!#REF!</definedName>
    <definedName name="FORM234" localSheetId="0">#REF!</definedName>
    <definedName name="FORM234" localSheetId="2">#REF!</definedName>
    <definedName name="FORM234" localSheetId="5">#REF!</definedName>
    <definedName name="FORM234">#REF!</definedName>
    <definedName name="Form235" localSheetId="0">'[2]Buis beton'!#REF!</definedName>
    <definedName name="Form235" localSheetId="2">'[2]Buis beton'!#REF!</definedName>
    <definedName name="Form235" localSheetId="5">'[3]Buis beton'!#REF!</definedName>
    <definedName name="Form235">'[2]Buis beton'!#REF!</definedName>
    <definedName name="Form236" localSheetId="0">'[2]Buis beton'!#REF!</definedName>
    <definedName name="Form236" localSheetId="2">'[2]Buis beton'!#REF!</definedName>
    <definedName name="Form236" localSheetId="5">'[3]Buis beton'!#REF!</definedName>
    <definedName name="Form236">'[2]Buis beton'!#REF!</definedName>
    <definedName name="FORM241" localSheetId="0">[5]Div.2!#REF!</definedName>
    <definedName name="FORM241" localSheetId="2">[5]Div.2!#REF!</definedName>
    <definedName name="FORM241" localSheetId="5">[4]Div.2!#REF!</definedName>
    <definedName name="FORM241">[5]Div.2!#REF!</definedName>
    <definedName name="FORM242" localSheetId="0">[5]Div.2!#REF!</definedName>
    <definedName name="FORM242" localSheetId="2">[5]Div.2!#REF!</definedName>
    <definedName name="FORM242" localSheetId="5">[4]Div.2!#REF!</definedName>
    <definedName name="FORM242">[5]Div.2!#REF!</definedName>
    <definedName name="FORM243" localSheetId="0">[5]Div.2!#REF!</definedName>
    <definedName name="FORM243" localSheetId="2">[5]Div.2!#REF!</definedName>
    <definedName name="FORM243" localSheetId="5">[4]Div.2!#REF!</definedName>
    <definedName name="FORM243">[5]Div.2!#REF!</definedName>
    <definedName name="FORM311" localSheetId="5">[4]Div.3!$L$1:$V$55</definedName>
    <definedName name="FORM311">[5]Div.3!$L$1:$V$55</definedName>
    <definedName name="FORM312" localSheetId="5">[4]Div.3!$L$56:$V$110</definedName>
    <definedName name="FORM312">[5]Div.3!$L$56:$V$110</definedName>
    <definedName name="FORM313" localSheetId="5">[4]Div.3!$L$331:$V$338</definedName>
    <definedName name="FORM313">[5]Div.3!$L$331:$V$338</definedName>
    <definedName name="FORM314" localSheetId="0">[5]Div.3!#REF!</definedName>
    <definedName name="FORM314" localSheetId="2">[5]Div.3!#REF!</definedName>
    <definedName name="FORM314" localSheetId="5">[4]Div.3!#REF!</definedName>
    <definedName name="FORM314">[5]Div.3!#REF!</definedName>
    <definedName name="FORM315" localSheetId="5">[4]Div.3!$L$111:$V$113</definedName>
    <definedName name="FORM315">[5]Div.3!$L$111:$V$113</definedName>
    <definedName name="FORM316" localSheetId="5">[4]Div.3!$L$166:$V$218</definedName>
    <definedName name="FORM316">[5]Div.3!$L$166:$V$218</definedName>
    <definedName name="FORM321" localSheetId="5">[4]Div.3!$L$219:$V$220</definedName>
    <definedName name="FORM321">[5]Div.3!$L$219:$V$220</definedName>
    <definedName name="FORM322" localSheetId="5">[4]Div.3!$L$272:$V$275</definedName>
    <definedName name="FORM322">[5]Div.3!$L$272:$V$275</definedName>
    <definedName name="FORM323" localSheetId="0">#REF!</definedName>
    <definedName name="FORM323" localSheetId="2">#REF!</definedName>
    <definedName name="FORM323" localSheetId="5">#REF!</definedName>
    <definedName name="FORM323">#REF!</definedName>
    <definedName name="FORM323L" localSheetId="0">#REF!</definedName>
    <definedName name="FORM323L" localSheetId="2">#REF!</definedName>
    <definedName name="FORM323L">#REF!</definedName>
    <definedName name="FORM33" localSheetId="5">[4]Div.3!$L$329:$V$330</definedName>
    <definedName name="FORM33">[5]Div.3!$L$329:$V$330</definedName>
    <definedName name="FORM421" localSheetId="0">#REF!</definedName>
    <definedName name="FORM421" localSheetId="2">#REF!</definedName>
    <definedName name="FORM421" localSheetId="5">#REF!</definedName>
    <definedName name="FORM421">#REF!</definedName>
    <definedName name="FORM422" localSheetId="0">#REF!</definedName>
    <definedName name="FORM422" localSheetId="2">#REF!</definedName>
    <definedName name="FORM422">#REF!</definedName>
    <definedName name="FORM423" localSheetId="0">#REF!</definedName>
    <definedName name="FORM423" localSheetId="2">#REF!</definedName>
    <definedName name="FORM423">#REF!</definedName>
    <definedName name="FORM424" localSheetId="0">#REF!</definedName>
    <definedName name="FORM424" localSheetId="2">#REF!</definedName>
    <definedName name="FORM424">#REF!</definedName>
    <definedName name="FORM425" localSheetId="0">#REF!</definedName>
    <definedName name="FORM425" localSheetId="2">#REF!</definedName>
    <definedName name="FORM425">#REF!</definedName>
    <definedName name="FORM426" localSheetId="0">#REF!</definedName>
    <definedName name="FORM426" localSheetId="2">#REF!</definedName>
    <definedName name="FORM426">#REF!</definedName>
    <definedName name="FORM427" localSheetId="0">#REF!</definedName>
    <definedName name="FORM427" localSheetId="2">#REF!</definedName>
    <definedName name="FORM427">#REF!</definedName>
    <definedName name="FORM511" localSheetId="0">[5]Div.5!#REF!</definedName>
    <definedName name="FORM511" localSheetId="2">[5]Div.5!#REF!</definedName>
    <definedName name="FORM511" localSheetId="5">[4]Div.5!#REF!</definedName>
    <definedName name="FORM511">[5]Div.5!#REF!</definedName>
    <definedName name="FORM512" localSheetId="0">[5]Div.5!#REF!</definedName>
    <definedName name="FORM512" localSheetId="2">[5]Div.5!#REF!</definedName>
    <definedName name="FORM512" localSheetId="5">[4]Div.5!#REF!</definedName>
    <definedName name="FORM512">[5]Div.5!#REF!</definedName>
    <definedName name="FORM521" localSheetId="0">[5]Div.5!#REF!</definedName>
    <definedName name="FORM521" localSheetId="2">[5]Div.5!#REF!</definedName>
    <definedName name="FORM521" localSheetId="5">[4]Div.5!#REF!</definedName>
    <definedName name="FORM521">[5]Div.5!#REF!</definedName>
    <definedName name="FORM522" localSheetId="0">[5]Div.5!#REF!</definedName>
    <definedName name="FORM522" localSheetId="2">[5]Div.5!#REF!</definedName>
    <definedName name="FORM522" localSheetId="5">[4]Div.5!#REF!</definedName>
    <definedName name="FORM522">[5]Div.5!#REF!</definedName>
    <definedName name="FORM541" localSheetId="0">[5]Div.5!#REF!</definedName>
    <definedName name="FORM541" localSheetId="2">[5]Div.5!#REF!</definedName>
    <definedName name="FORM541" localSheetId="5">[4]Div.5!#REF!</definedName>
    <definedName name="FORM541">[5]Div.5!#REF!</definedName>
    <definedName name="FORM542" localSheetId="0">[5]Div.5!#REF!</definedName>
    <definedName name="FORM542" localSheetId="2">[5]Div.5!#REF!</definedName>
    <definedName name="FORM542" localSheetId="5">[4]Div.5!#REF!</definedName>
    <definedName name="FORM542">[5]Div.5!#REF!</definedName>
    <definedName name="FORM611" localSheetId="5">[4]Div.6!$L$1:$V$57</definedName>
    <definedName name="FORM611">[5]Div.6!$L$1:$V$57</definedName>
    <definedName name="FORM612" localSheetId="5">[4]Div.6!$L$58:$V$114</definedName>
    <definedName name="FORM612">[5]Div.6!$L$58:$V$114</definedName>
    <definedName name="FORM621" localSheetId="0">#REF!</definedName>
    <definedName name="FORM621" localSheetId="2">#REF!</definedName>
    <definedName name="FORM621" localSheetId="5">#REF!</definedName>
    <definedName name="FORM621">#REF!</definedName>
    <definedName name="FORM622" localSheetId="5">[4]Div.6!$L$115:$V$171</definedName>
    <definedName name="FORM622">[5]Div.6!$L$115:$V$171</definedName>
    <definedName name="FORM623" localSheetId="5">[4]Div.6!$L$172:$V$228</definedName>
    <definedName name="FORM623">[5]Div.6!$L$172:$V$228</definedName>
    <definedName name="FORM624" localSheetId="0">[5]Div.6!#REF!</definedName>
    <definedName name="FORM624" localSheetId="2">[5]Div.6!#REF!</definedName>
    <definedName name="FORM624" localSheetId="5">[4]Div.6!#REF!</definedName>
    <definedName name="FORM624">[5]Div.6!#REF!</definedName>
    <definedName name="FORM631" localSheetId="0">#REF!</definedName>
    <definedName name="FORM631" localSheetId="2">#REF!</definedName>
    <definedName name="FORM631" localSheetId="5">#REF!</definedName>
    <definedName name="FORM631">#REF!</definedName>
    <definedName name="FORM632" localSheetId="0">#REF!</definedName>
    <definedName name="FORM632" localSheetId="2">#REF!</definedName>
    <definedName name="FORM632">#REF!</definedName>
    <definedName name="FORM633" localSheetId="0">[5]Div.6!#REF!</definedName>
    <definedName name="FORM633" localSheetId="2">[5]Div.6!#REF!</definedName>
    <definedName name="FORM633" localSheetId="5">[4]Div.6!#REF!</definedName>
    <definedName name="FORM633">[5]Div.6!#REF!</definedName>
    <definedName name="FORM634" localSheetId="0">[5]Div.6!#REF!</definedName>
    <definedName name="FORM634" localSheetId="2">[5]Div.6!#REF!</definedName>
    <definedName name="FORM634" localSheetId="5">[4]Div.6!#REF!</definedName>
    <definedName name="FORM634">[5]Div.6!#REF!</definedName>
    <definedName name="FORM635" localSheetId="0">[5]Div.6!#REF!</definedName>
    <definedName name="FORM635" localSheetId="2">[5]Div.6!#REF!</definedName>
    <definedName name="FORM635" localSheetId="5">[4]Div.6!#REF!</definedName>
    <definedName name="FORM635">[5]Div.6!#REF!</definedName>
    <definedName name="FORM635A" localSheetId="0">[5]Div.6!#REF!</definedName>
    <definedName name="FORM635A" localSheetId="2">[5]Div.6!#REF!</definedName>
    <definedName name="FORM635A" localSheetId="5">[4]Div.6!#REF!</definedName>
    <definedName name="FORM635A">[5]Div.6!#REF!</definedName>
    <definedName name="FORM636" localSheetId="0">#REF!</definedName>
    <definedName name="FORM636" localSheetId="2">#REF!</definedName>
    <definedName name="FORM636" localSheetId="5">#REF!</definedName>
    <definedName name="FORM636">#REF!</definedName>
    <definedName name="FORM641L" localSheetId="0">#REF!</definedName>
    <definedName name="FORM641L" localSheetId="2">#REF!</definedName>
    <definedName name="FORM641L">#REF!</definedName>
    <definedName name="FORM642" localSheetId="0">#REF!</definedName>
    <definedName name="FORM642" localSheetId="2">#REF!</definedName>
    <definedName name="FORM642">#REF!</definedName>
    <definedName name="FORM651" localSheetId="0">[5]Div.6!#REF!</definedName>
    <definedName name="FORM651" localSheetId="2">[5]Div.6!#REF!</definedName>
    <definedName name="FORM651" localSheetId="5">[4]Div.6!#REF!</definedName>
    <definedName name="FORM651">[5]Div.6!#REF!</definedName>
    <definedName name="FORM661" localSheetId="0">[5]Div.6!#REF!</definedName>
    <definedName name="FORM661" localSheetId="2">[5]Div.6!#REF!</definedName>
    <definedName name="FORM661" localSheetId="5">[4]Div.6!#REF!</definedName>
    <definedName name="FORM661">[5]Div.6!#REF!</definedName>
    <definedName name="FORM662" localSheetId="0">[5]Div.6!#REF!</definedName>
    <definedName name="FORM662" localSheetId="2">[5]Div.6!#REF!</definedName>
    <definedName name="FORM662" localSheetId="5">[4]Div.6!#REF!</definedName>
    <definedName name="FORM662">[5]Div.6!#REF!</definedName>
    <definedName name="FORM7101" localSheetId="0">[2]Bronjong!#REF!</definedName>
    <definedName name="FORM7101" localSheetId="2">[2]Bronjong!#REF!</definedName>
    <definedName name="FORM7101" localSheetId="5">[3]Bronjong!#REF!</definedName>
    <definedName name="FORM7101">[2]Bronjong!#REF!</definedName>
    <definedName name="FORM7102" localSheetId="0">[2]Bronjong!#REF!</definedName>
    <definedName name="FORM7102" localSheetId="2">[2]Bronjong!#REF!</definedName>
    <definedName name="FORM7102" localSheetId="5">[3]Bronjong!#REF!</definedName>
    <definedName name="FORM7102">[2]Bronjong!#REF!</definedName>
    <definedName name="FORM7103" localSheetId="0">#REF!</definedName>
    <definedName name="FORM7103" localSheetId="2">#REF!</definedName>
    <definedName name="FORM7103" localSheetId="5">#REF!</definedName>
    <definedName name="FORM7103">#REF!</definedName>
    <definedName name="FORM711" localSheetId="0">#REF!</definedName>
    <definedName name="FORM711" localSheetId="2">#REF!</definedName>
    <definedName name="FORM711">#REF!</definedName>
    <definedName name="FORM712" localSheetId="0">[2]Bronjong!#REF!</definedName>
    <definedName name="FORM712" localSheetId="2">[2]Bronjong!#REF!</definedName>
    <definedName name="FORM712" localSheetId="5">[3]Bronjong!#REF!</definedName>
    <definedName name="FORM712">[2]Bronjong!#REF!</definedName>
    <definedName name="FORM713" localSheetId="0">[2]Bronjong!#REF!</definedName>
    <definedName name="FORM713" localSheetId="2">[2]Bronjong!#REF!</definedName>
    <definedName name="FORM713" localSheetId="5">[3]Bronjong!#REF!</definedName>
    <definedName name="FORM713">[2]Bronjong!#REF!</definedName>
    <definedName name="FORM714" localSheetId="0">#REF!</definedName>
    <definedName name="FORM714" localSheetId="2">#REF!</definedName>
    <definedName name="FORM714" localSheetId="5">#REF!</definedName>
    <definedName name="FORM714">#REF!</definedName>
    <definedName name="FORM715" localSheetId="0">[2]Bronjong!#REF!</definedName>
    <definedName name="FORM715" localSheetId="2">[2]Bronjong!#REF!</definedName>
    <definedName name="FORM715" localSheetId="5">[3]Bronjong!#REF!</definedName>
    <definedName name="FORM715">[2]Bronjong!#REF!</definedName>
    <definedName name="FORM716" localSheetId="0">[2]Bronjong!#REF!</definedName>
    <definedName name="FORM716" localSheetId="2">[2]Bronjong!#REF!</definedName>
    <definedName name="FORM716" localSheetId="5">[3]Bronjong!#REF!</definedName>
    <definedName name="FORM716">[2]Bronjong!#REF!</definedName>
    <definedName name="FORM717" localSheetId="0">[2]Bronjong!#REF!</definedName>
    <definedName name="FORM717" localSheetId="2">[2]Bronjong!#REF!</definedName>
    <definedName name="FORM717" localSheetId="5">[3]Bronjong!#REF!</definedName>
    <definedName name="FORM717">[2]Bronjong!#REF!</definedName>
    <definedName name="FORM718" localSheetId="0">[2]Bronjong!#REF!</definedName>
    <definedName name="FORM718" localSheetId="2">[2]Bronjong!#REF!</definedName>
    <definedName name="FORM718" localSheetId="5">[3]Bronjong!#REF!</definedName>
    <definedName name="FORM718">[2]Bronjong!#REF!</definedName>
    <definedName name="FORM73PL" localSheetId="0">#REF!</definedName>
    <definedName name="FORM73PL" localSheetId="2">#REF!</definedName>
    <definedName name="FORM73PL" localSheetId="5">#REF!</definedName>
    <definedName name="FORM73PL">#REF!</definedName>
    <definedName name="FORM73UL" localSheetId="0">#REF!</definedName>
    <definedName name="FORM73UL" localSheetId="2">#REF!</definedName>
    <definedName name="FORM73UL">#REF!</definedName>
    <definedName name="FORM744" localSheetId="0">[2]Bronjong!#REF!</definedName>
    <definedName name="FORM744" localSheetId="2">[2]Bronjong!#REF!</definedName>
    <definedName name="FORM744" localSheetId="5">[3]Bronjong!#REF!</definedName>
    <definedName name="FORM744">[2]Bronjong!#REF!</definedName>
    <definedName name="FORM745" localSheetId="0">[2]Bronjong!#REF!</definedName>
    <definedName name="FORM745" localSheetId="2">[2]Bronjong!#REF!</definedName>
    <definedName name="FORM745" localSheetId="5">[3]Bronjong!#REF!</definedName>
    <definedName name="FORM745">[2]Bronjong!#REF!</definedName>
    <definedName name="FORM751" localSheetId="0">#REF!</definedName>
    <definedName name="FORM751" localSheetId="2">#REF!</definedName>
    <definedName name="FORM751" localSheetId="5">#REF!</definedName>
    <definedName name="FORM751">#REF!</definedName>
    <definedName name="FORM752" localSheetId="0">#REF!</definedName>
    <definedName name="FORM752" localSheetId="2">#REF!</definedName>
    <definedName name="FORM752">#REF!</definedName>
    <definedName name="FORM7610" localSheetId="0">[2]Bronjong!#REF!</definedName>
    <definedName name="FORM7610" localSheetId="2">[2]Bronjong!#REF!</definedName>
    <definedName name="FORM7610" localSheetId="5">[3]Bronjong!#REF!</definedName>
    <definedName name="FORM7610">[2]Bronjong!#REF!</definedName>
    <definedName name="FORM7611" localSheetId="0">#REF!</definedName>
    <definedName name="FORM7611" localSheetId="2">#REF!</definedName>
    <definedName name="FORM7611" localSheetId="5">#REF!</definedName>
    <definedName name="FORM7611">#REF!</definedName>
    <definedName name="FORM7612" localSheetId="0">#REF!</definedName>
    <definedName name="FORM7612" localSheetId="2">#REF!</definedName>
    <definedName name="FORM7612">#REF!</definedName>
    <definedName name="FORM7612a" localSheetId="0">[2]Bronjong!#REF!</definedName>
    <definedName name="FORM7612a" localSheetId="2">[2]Bronjong!#REF!</definedName>
    <definedName name="FORM7612a" localSheetId="5">[3]Bronjong!#REF!</definedName>
    <definedName name="FORM7612a">[2]Bronjong!#REF!</definedName>
    <definedName name="FORM7612b" localSheetId="0">[2]Bronjong!#REF!</definedName>
    <definedName name="FORM7612b" localSheetId="2">[2]Bronjong!#REF!</definedName>
    <definedName name="FORM7612b" localSheetId="5">[3]Bronjong!#REF!</definedName>
    <definedName name="FORM7612b">[2]Bronjong!#REF!</definedName>
    <definedName name="FORM7612c" localSheetId="0">[2]Bronjong!#REF!</definedName>
    <definedName name="FORM7612c" localSheetId="2">[2]Bronjong!#REF!</definedName>
    <definedName name="FORM7612c" localSheetId="5">[3]Bronjong!#REF!</definedName>
    <definedName name="FORM7612c">[2]Bronjong!#REF!</definedName>
    <definedName name="FORM7613" localSheetId="0">#REF!</definedName>
    <definedName name="FORM7613" localSheetId="2">#REF!</definedName>
    <definedName name="FORM7613" localSheetId="5">#REF!</definedName>
    <definedName name="FORM7613">#REF!</definedName>
    <definedName name="FORM7613a" localSheetId="0">[2]Bronjong!#REF!</definedName>
    <definedName name="FORM7613a" localSheetId="2">[2]Bronjong!#REF!</definedName>
    <definedName name="FORM7613a" localSheetId="5">[3]Bronjong!#REF!</definedName>
    <definedName name="FORM7613a">[2]Bronjong!#REF!</definedName>
    <definedName name="FORM7613b" localSheetId="0">[2]Bronjong!#REF!</definedName>
    <definedName name="FORM7613b" localSheetId="2">[2]Bronjong!#REF!</definedName>
    <definedName name="FORM7613b" localSheetId="5">[3]Bronjong!#REF!</definedName>
    <definedName name="FORM7613b">[2]Bronjong!#REF!</definedName>
    <definedName name="FORM7613c" localSheetId="0">[2]Bronjong!#REF!</definedName>
    <definedName name="FORM7613c" localSheetId="2">[2]Bronjong!#REF!</definedName>
    <definedName name="FORM7613c" localSheetId="5">[3]Bronjong!#REF!</definedName>
    <definedName name="FORM7613c">[2]Bronjong!#REF!</definedName>
    <definedName name="FORM7614" localSheetId="0">#REF!</definedName>
    <definedName name="FORM7614" localSheetId="2">#REF!</definedName>
    <definedName name="FORM7614" localSheetId="5">#REF!</definedName>
    <definedName name="FORM7614">#REF!</definedName>
    <definedName name="FORM7614a" localSheetId="0">[2]Bronjong!#REF!</definedName>
    <definedName name="FORM7614a" localSheetId="2">[2]Bronjong!#REF!</definedName>
    <definedName name="FORM7614a" localSheetId="5">[3]Bronjong!#REF!</definedName>
    <definedName name="FORM7614a">[2]Bronjong!#REF!</definedName>
    <definedName name="FORM7614b" localSheetId="0">[2]Bronjong!#REF!</definedName>
    <definedName name="FORM7614b" localSheetId="2">[2]Bronjong!#REF!</definedName>
    <definedName name="FORM7614b" localSheetId="5">[3]Bronjong!#REF!</definedName>
    <definedName name="FORM7614b">[2]Bronjong!#REF!</definedName>
    <definedName name="FORM7614c" localSheetId="0">[2]Bronjong!#REF!</definedName>
    <definedName name="FORM7614c" localSheetId="2">[2]Bronjong!#REF!</definedName>
    <definedName name="FORM7614c" localSheetId="5">[3]Bronjong!#REF!</definedName>
    <definedName name="FORM7614c">[2]Bronjong!#REF!</definedName>
    <definedName name="FORM7614d" localSheetId="0">[2]Bronjong!#REF!</definedName>
    <definedName name="FORM7614d" localSheetId="2">[2]Bronjong!#REF!</definedName>
    <definedName name="FORM7614d" localSheetId="5">[3]Bronjong!#REF!</definedName>
    <definedName name="FORM7614d">[2]Bronjong!#REF!</definedName>
    <definedName name="FORM7614e" localSheetId="0">[2]Bronjong!#REF!</definedName>
    <definedName name="FORM7614e" localSheetId="2">[2]Bronjong!#REF!</definedName>
    <definedName name="FORM7614e" localSheetId="5">[3]Bronjong!#REF!</definedName>
    <definedName name="FORM7614e">[2]Bronjong!#REF!</definedName>
    <definedName name="FORM7615" localSheetId="0">#REF!</definedName>
    <definedName name="FORM7615" localSheetId="2">#REF!</definedName>
    <definedName name="FORM7615" localSheetId="5">#REF!</definedName>
    <definedName name="FORM7615">#REF!</definedName>
    <definedName name="FORM7616" localSheetId="0">#REF!</definedName>
    <definedName name="FORM7616" localSheetId="2">#REF!</definedName>
    <definedName name="FORM7616">#REF!</definedName>
    <definedName name="FORM7617" localSheetId="0">#REF!</definedName>
    <definedName name="FORM7617" localSheetId="2">#REF!</definedName>
    <definedName name="FORM7617">#REF!</definedName>
    <definedName name="FORM7618" localSheetId="0">[2]Bronjong!#REF!</definedName>
    <definedName name="FORM7618" localSheetId="2">[2]Bronjong!#REF!</definedName>
    <definedName name="FORM7618" localSheetId="5">[3]Bronjong!#REF!</definedName>
    <definedName name="FORM7618">[2]Bronjong!#REF!</definedName>
    <definedName name="FORM7619" localSheetId="0">[2]Bronjong!#REF!</definedName>
    <definedName name="FORM7619" localSheetId="2">[2]Bronjong!#REF!</definedName>
    <definedName name="FORM7619" localSheetId="5">[3]Bronjong!#REF!</definedName>
    <definedName name="FORM7619">[2]Bronjong!#REF!</definedName>
    <definedName name="FORM7620" localSheetId="0">#REF!</definedName>
    <definedName name="FORM7620" localSheetId="2">#REF!</definedName>
    <definedName name="FORM7620" localSheetId="5">#REF!</definedName>
    <definedName name="FORM7620">#REF!</definedName>
    <definedName name="FORM7621" localSheetId="0">#REF!</definedName>
    <definedName name="FORM7621" localSheetId="2">#REF!</definedName>
    <definedName name="FORM7621">#REF!</definedName>
    <definedName name="FORM7625" localSheetId="0">#REF!</definedName>
    <definedName name="FORM7625" localSheetId="2">#REF!</definedName>
    <definedName name="FORM7625">#REF!</definedName>
    <definedName name="FORM7626" localSheetId="0">#REF!</definedName>
    <definedName name="FORM7626" localSheetId="2">#REF!</definedName>
    <definedName name="FORM7626">#REF!</definedName>
    <definedName name="FORM767" localSheetId="0">#REF!</definedName>
    <definedName name="FORM767" localSheetId="2">#REF!</definedName>
    <definedName name="FORM767">#REF!</definedName>
    <definedName name="FORM768" localSheetId="0">[2]Bronjong!#REF!</definedName>
    <definedName name="FORM768" localSheetId="2">[2]Bronjong!#REF!</definedName>
    <definedName name="FORM768" localSheetId="5">[3]Bronjong!#REF!</definedName>
    <definedName name="FORM768">[2]Bronjong!#REF!</definedName>
    <definedName name="FORM769" localSheetId="0">[2]Bronjong!#REF!</definedName>
    <definedName name="FORM769" localSheetId="2">[2]Bronjong!#REF!</definedName>
    <definedName name="FORM769" localSheetId="5">[3]Bronjong!#REF!</definedName>
    <definedName name="FORM769">[2]Bronjong!#REF!</definedName>
    <definedName name="FORM76X" localSheetId="0">[2]Bronjong!#REF!</definedName>
    <definedName name="FORM76X" localSheetId="2">[2]Bronjong!#REF!</definedName>
    <definedName name="FORM76X" localSheetId="5">[3]Bronjong!#REF!</definedName>
    <definedName name="FORM76X">[2]Bronjong!#REF!</definedName>
    <definedName name="FORM771" localSheetId="0">#REF!</definedName>
    <definedName name="FORM771" localSheetId="2">#REF!</definedName>
    <definedName name="FORM771" localSheetId="5">#REF!</definedName>
    <definedName name="FORM771">#REF!</definedName>
    <definedName name="FORM775" localSheetId="0">#REF!</definedName>
    <definedName name="FORM775" localSheetId="2">#REF!</definedName>
    <definedName name="FORM775">#REF!</definedName>
    <definedName name="FORM79" localSheetId="0">#REF!</definedName>
    <definedName name="FORM79" localSheetId="2">#REF!</definedName>
    <definedName name="FORM79">#REF!</definedName>
    <definedName name="FORM79L" localSheetId="0">#REF!</definedName>
    <definedName name="FORM79L" localSheetId="2">#REF!</definedName>
    <definedName name="FORM79L">#REF!</definedName>
    <definedName name="FORM79manual" localSheetId="0">[2]Bronjong!#REF!</definedName>
    <definedName name="FORM79manual" localSheetId="2">[2]Bronjong!#REF!</definedName>
    <definedName name="FORM79manual" localSheetId="5">[3]Bronjong!#REF!</definedName>
    <definedName name="FORM79manual">[2]Bronjong!#REF!</definedName>
    <definedName name="FORM79mekanis" localSheetId="0">[2]Bronjong!#REF!</definedName>
    <definedName name="FORM79mekanis" localSheetId="2">[2]Bronjong!#REF!</definedName>
    <definedName name="FORM79mekanis" localSheetId="5">[3]Bronjong!#REF!</definedName>
    <definedName name="FORM79mekanis">[2]Bronjong!#REF!</definedName>
    <definedName name="FORM811" localSheetId="5">[4]Div.8!$L$1:$V$61</definedName>
    <definedName name="FORM811">[5]Div.8!$L$1:$V$61</definedName>
    <definedName name="FORM812" localSheetId="5">[4]Div.8!$L$62:$V$118</definedName>
    <definedName name="FORM812">[5]Div.8!$L$62:$V$118</definedName>
    <definedName name="FORM813" localSheetId="5">[4]Div.8!$L$120:$V$176</definedName>
    <definedName name="FORM813">[5]Div.8!$L$120:$V$176</definedName>
    <definedName name="FORM814" localSheetId="5">[4]Div.8!$L$178:$V$234</definedName>
    <definedName name="FORM814">[5]Div.8!$L$178:$V$234</definedName>
    <definedName name="FORM815" localSheetId="5">[4]Div.8!$L$236:$V$292</definedName>
    <definedName name="FORM815">[5]Div.8!$L$236:$V$292</definedName>
    <definedName name="FORM817" localSheetId="5">[4]Div.8!$L$294:$V$352</definedName>
    <definedName name="FORM817">[5]Div.8!$L$294:$V$352</definedName>
    <definedName name="FORM818" localSheetId="0">[5]Div.8!#REF!</definedName>
    <definedName name="FORM818" localSheetId="2">[5]Div.8!#REF!</definedName>
    <definedName name="FORM818" localSheetId="5">[4]Div.8!#REF!</definedName>
    <definedName name="FORM818">[5]Div.8!#REF!</definedName>
    <definedName name="FORM819" localSheetId="0">[5]Div.8!#REF!</definedName>
    <definedName name="FORM819" localSheetId="2">[5]Div.8!#REF!</definedName>
    <definedName name="FORM819" localSheetId="5">[4]Div.8!#REF!</definedName>
    <definedName name="FORM819">[5]Div.8!#REF!</definedName>
    <definedName name="FORM82" localSheetId="0">[5]Div.8!#REF!</definedName>
    <definedName name="FORM82" localSheetId="2">[5]Div.8!#REF!</definedName>
    <definedName name="FORM82" localSheetId="5">[4]Div.8!#REF!</definedName>
    <definedName name="FORM82">[5]Div.8!#REF!</definedName>
    <definedName name="FORM83" localSheetId="0">[5]Div.8!#REF!</definedName>
    <definedName name="FORM83" localSheetId="2">[5]Div.8!#REF!</definedName>
    <definedName name="FORM83" localSheetId="5">[4]Div.8!#REF!</definedName>
    <definedName name="FORM83">[5]Div.8!#REF!</definedName>
    <definedName name="FORMGEOTEKSTIL" localSheetId="0">[2]Bronjong!#REF!</definedName>
    <definedName name="FORMGEOTEKSTIL" localSheetId="2">[2]Bronjong!#REF!</definedName>
    <definedName name="FORMGEOTEKSTIL" localSheetId="5">[3]Bronjong!#REF!</definedName>
    <definedName name="FORMGEOTEKSTIL">[2]Bronjong!#REF!</definedName>
    <definedName name="FORMLatasirK" localSheetId="0">#REF!</definedName>
    <definedName name="FORMLatasirK" localSheetId="2">#REF!</definedName>
    <definedName name="FORMLatasirK" localSheetId="5">#REF!</definedName>
    <definedName name="FORMLatasirK">#REF!</definedName>
    <definedName name="FORMLatasirKL" localSheetId="0">#REF!</definedName>
    <definedName name="FORMLatasirKL" localSheetId="2">#REF!</definedName>
    <definedName name="FORMLatasirKL">#REF!</definedName>
    <definedName name="FULVIMIXER" localSheetId="0">[5]Alat!#REF!</definedName>
    <definedName name="FULVIMIXER" localSheetId="2">[5]Alat!#REF!</definedName>
    <definedName name="FULVIMIXER" localSheetId="5">[4]Alat!#REF!</definedName>
    <definedName name="FULVIMIXER">[5]Alat!#REF!</definedName>
    <definedName name="GENSET" localSheetId="0">[5]Alat!#REF!</definedName>
    <definedName name="GENSET" localSheetId="2">[5]Alat!#REF!</definedName>
    <definedName name="GENSET" localSheetId="5">[4]Alat!#REF!</definedName>
    <definedName name="GENSET">[5]Alat!#REF!</definedName>
    <definedName name="GRADER" localSheetId="0">[5]Alat!#REF!</definedName>
    <definedName name="GRADER" localSheetId="2">[5]Alat!#REF!</definedName>
    <definedName name="GRADER" localSheetId="5">[4]Alat!#REF!</definedName>
    <definedName name="GRADER">[5]Alat!#REF!</definedName>
    <definedName name="GRAVEL" localSheetId="5">[4]Quary!$A$352:$H$461</definedName>
    <definedName name="GRAVEL">[5]Quary!$A$352:$H$461</definedName>
    <definedName name="HARGA" localSheetId="5">[4]Quary!$A$1:$H$38</definedName>
    <definedName name="HARGA">[5]Quary!$A$1:$H$38</definedName>
    <definedName name="iri" localSheetId="4">OFFSET([0]!CVKK2,0,-1)</definedName>
    <definedName name="iri" localSheetId="0">OFFSET([0]!CVKK2,0,-1)</definedName>
    <definedName name="iri" localSheetId="2">OFFSET('Form RCI 2'!CVKK2,0,-1)</definedName>
    <definedName name="iri" localSheetId="5">OFFSET([0]!CVKK2,0,-1)</definedName>
    <definedName name="iri">OFFSET([0]!CVKK2,0,-1)</definedName>
    <definedName name="JACKHAMMER" localSheetId="0">[5]Alat!#REF!</definedName>
    <definedName name="JACKHAMMER" localSheetId="2">[5]Alat!#REF!</definedName>
    <definedName name="JACKHAMMER" localSheetId="5">[4]Alat!#REF!</definedName>
    <definedName name="JACKHAMMER">[5]Alat!#REF!</definedName>
    <definedName name="KUANTITAS" localSheetId="0">#REF!</definedName>
    <definedName name="KUANTITAS" localSheetId="2">#REF!</definedName>
    <definedName name="KUANTITAS">#REF!</definedName>
    <definedName name="l" localSheetId="0">#REF!</definedName>
    <definedName name="l" localSheetId="2">#REF!</definedName>
    <definedName name="l">#REF!</definedName>
    <definedName name="LAINLAIN" localSheetId="0">#REF!</definedName>
    <definedName name="LAINLAIN" localSheetId="2">#REF!</definedName>
    <definedName name="LAINLAIN">#REF!</definedName>
    <definedName name="lll" localSheetId="5">[6]Rab!$G$89</definedName>
    <definedName name="lll">[7]Rab!$G$89</definedName>
    <definedName name="MATERIAL" localSheetId="5">[4]Basic!$A$33:$G$84</definedName>
    <definedName name="MATERIAL">[5]Basic!$A$33:$G$84</definedName>
    <definedName name="MINOR" localSheetId="0">#REF!</definedName>
    <definedName name="MINOR" localSheetId="2">#REF!</definedName>
    <definedName name="MINOR">#REF!</definedName>
    <definedName name="MMM17A" localSheetId="5">[4]Basic!$F$62</definedName>
    <definedName name="MMM17A">[5]Basic!$F$62</definedName>
    <definedName name="MMM35A" localSheetId="5">[4]Basic!$F$73</definedName>
    <definedName name="MMM35A">[5]Basic!$F$73</definedName>
    <definedName name="MOBILISASI" localSheetId="0">#REF!</definedName>
    <definedName name="MOBILISASI" localSheetId="2">#REF!</definedName>
    <definedName name="MOBILISASI">#REF!</definedName>
    <definedName name="PASIR" localSheetId="5">[4]Quary!$A$39:$H$148</definedName>
    <definedName name="PASIR">[5]Quary!$A$39:$H$148</definedName>
    <definedName name="PASIRURUG" localSheetId="5">[4]Quary!$A$572:$H$682</definedName>
    <definedName name="PASIRURUG">[5]Quary!$A$572:$H$682</definedName>
    <definedName name="PEDESTRIANROLLER" localSheetId="0">[5]Alat!#REF!</definedName>
    <definedName name="PEDESTRIANROLLER" localSheetId="2">[5]Alat!#REF!</definedName>
    <definedName name="PEDESTRIANROLLER" localSheetId="5">[4]Alat!#REF!</definedName>
    <definedName name="PEDESTRIANROLLER">[5]Alat!#REF!</definedName>
    <definedName name="_xlnm.Print_Area" localSheetId="4">Aspal!$A$1:$BN$53</definedName>
    <definedName name="_xlnm.Print_Area" localSheetId="0">'DD1-2020'!$A$1:$AA$108</definedName>
    <definedName name="_xlnm.Print_Area" localSheetId="1">'Form RCI'!$B$1:$AO$54</definedName>
    <definedName name="_xlnm.Print_Area" localSheetId="3">'Form RCI (3)'!$B$1:$AO$54</definedName>
    <definedName name="_xlnm.Print_Area" localSheetId="2">'Form RCI 2'!$B$1:$AO$54</definedName>
    <definedName name="_xlnm.Print_Area" localSheetId="5">'Non Aspal'!$A$1:$BN$46</definedName>
    <definedName name="_xlnm.Print_Area">Konstruksi &amp; [8]Barang!$B$1:$G$483</definedName>
    <definedName name="Print_Area_MI" localSheetId="0">#REF!</definedName>
    <definedName name="Print_Area_MI" localSheetId="2">#REF!</definedName>
    <definedName name="Print_Area_MI" localSheetId="5">#REF!</definedName>
    <definedName name="Print_Area_MI">#REF!</definedName>
    <definedName name="_xlnm.Print_Titles" localSheetId="4">Aspal!$1:$10</definedName>
    <definedName name="_xlnm.Print_Titles" localSheetId="0">'DD1-2020'!$6:$11</definedName>
    <definedName name="_xlnm.Print_Titles" localSheetId="3">Konstruksi &amp; [8]Barang!$A$5:$IV$5</definedName>
    <definedName name="_xlnm.Print_Titles" localSheetId="2">Konstruksi &amp; [8]Barang!$A$5:$IV$5</definedName>
    <definedName name="_xlnm.Print_Titles">Konstruksi &amp; [8]Barang!$A$5:$IV$5</definedName>
    <definedName name="PUSAT" localSheetId="0">[2]Bronjong!#REF!</definedName>
    <definedName name="PUSAT" localSheetId="2">[2]Bronjong!#REF!</definedName>
    <definedName name="PUSAT" localSheetId="5">[3]Bronjong!#REF!</definedName>
    <definedName name="PUSAT">[2]Bronjong!#REF!</definedName>
    <definedName name="REKAP" localSheetId="0">#REF!</definedName>
    <definedName name="REKAP" localSheetId="2">#REF!</definedName>
    <definedName name="REKAP" localSheetId="5">#REF!</definedName>
    <definedName name="REKAP">#REF!</definedName>
    <definedName name="RINCIANSEWA" localSheetId="5">[4]Alat!$B$1:$AC$59</definedName>
    <definedName name="RINCIANSEWA">[5]Alat!$B$1:$AC$59</definedName>
    <definedName name="RUTIN" localSheetId="0">#REF!</definedName>
    <definedName name="RUTIN" localSheetId="2">#REF!</definedName>
    <definedName name="RUTIN">#REF!</definedName>
    <definedName name="sheet2CVIRI2" localSheetId="4">OFFSET([9]Sheet1!$B$3,1,0,COUNTA([9]Sheet1!$B$3:$L$10000),1)</definedName>
    <definedName name="sheet2CVIRI2">OFFSET([9]Sheet1!$B$3,1,0,COUNTA([9]Sheet1!$B$3:$L$10000),1)</definedName>
    <definedName name="sheet2CVIRII" localSheetId="4">OFFSET([9]Report!$G$31,0,0,COUNTA([9]Report!$G$31:$G$10001),1)</definedName>
    <definedName name="sheet2CVIRII">OFFSET([9]Report!$G$31,0,0,COUNTA([9]Report!$G$31:$G$10001),1)</definedName>
    <definedName name="sheet2CVKKI" localSheetId="4">OFFSET([9]Report!$S$27,1,0,COUNTA([9]Report!$S$28:$S$30),1)</definedName>
    <definedName name="sheet2CVKKI">OFFSET([9]Report!$S$27,1,0,COUNTA([9]Report!$S$28:$S$30),1)</definedName>
    <definedName name="SIRTU" localSheetId="5">[4]Quary!$A$462:$H$571</definedName>
    <definedName name="SIRTU">[5]Quary!$A$462:$H$571</definedName>
    <definedName name="SPRAYER" localSheetId="0">[5]Alat!#REF!</definedName>
    <definedName name="SPRAYER" localSheetId="2">[5]Alat!#REF!</definedName>
    <definedName name="SPRAYER" localSheetId="5">[4]Alat!#REF!</definedName>
    <definedName name="SPRAYER">[5]Alat!#REF!</definedName>
    <definedName name="STONECRUSHER" localSheetId="0">[5]Alat!#REF!</definedName>
    <definedName name="STONECRUSHER" localSheetId="2">[5]Alat!#REF!</definedName>
    <definedName name="STONECRUSHER" localSheetId="5">[4]Alat!#REF!</definedName>
    <definedName name="STONECRUSHER">[5]Alat!#REF!</definedName>
    <definedName name="STRUKTUR" localSheetId="0">#REF!</definedName>
    <definedName name="STRUKTUR" localSheetId="2">#REF!</definedName>
    <definedName name="STRUKTUR">#REF!</definedName>
    <definedName name="TAMPER" localSheetId="0">[5]Alat!#REF!</definedName>
    <definedName name="TAMPER" localSheetId="2">[5]Alat!#REF!</definedName>
    <definedName name="TAMPER" localSheetId="5">[4]Alat!#REF!</definedName>
    <definedName name="TAMPER">[5]Alat!#REF!</definedName>
    <definedName name="TANAH" localSheetId="0">#REF!</definedName>
    <definedName name="TANAH" localSheetId="2">#REF!</definedName>
    <definedName name="TANAH">#REF!</definedName>
    <definedName name="TANDEMROLLER" localSheetId="0">[5]Alat!#REF!</definedName>
    <definedName name="TANDEMROLLER" localSheetId="2">[5]Alat!#REF!</definedName>
    <definedName name="TANDEMROLLER" localSheetId="5">[4]Alat!#REF!</definedName>
    <definedName name="TANDEMROLLER">[5]Alat!#REF!</definedName>
    <definedName name="THREEWHEELROLLER" localSheetId="0">[5]Alat!#REF!</definedName>
    <definedName name="THREEWHEELROLLER" localSheetId="2">[5]Alat!#REF!</definedName>
    <definedName name="THREEWHEELROLLER" localSheetId="5">[4]Alat!#REF!</definedName>
    <definedName name="THREEWHEELROLLER">[5]Alat!#REF!</definedName>
    <definedName name="TIREROLLER" localSheetId="0">[5]Alat!#REF!</definedName>
    <definedName name="TIREROLLER" localSheetId="2">[5]Alat!#REF!</definedName>
    <definedName name="TIREROLLER" localSheetId="5">[4]Alat!#REF!</definedName>
    <definedName name="TIREROLLER">[5]Alat!#REF!</definedName>
    <definedName name="TRACKLOADER" localSheetId="0">[5]Alat!#REF!</definedName>
    <definedName name="TRACKLOADER" localSheetId="2">[5]Alat!#REF!</definedName>
    <definedName name="TRACKLOADER" localSheetId="5">[4]Alat!#REF!</definedName>
    <definedName name="TRACKLOADER">[5]Alat!#REF!</definedName>
    <definedName name="UMUM" localSheetId="0">#REF!</definedName>
    <definedName name="UMUM" localSheetId="2">#REF!</definedName>
    <definedName name="UMUM">#REF!</definedName>
    <definedName name="UPAH" localSheetId="5">[4]Basic!$A$1:$G$32</definedName>
    <definedName name="UPAH">[5]Basic!$A$1:$G$32</definedName>
    <definedName name="URAIAN" localSheetId="5">[4]Div.2!$A$1:$J$228</definedName>
    <definedName name="URAIAN">[5]Div.2!$A$1:$J$228</definedName>
    <definedName name="URAIAN101" localSheetId="0">#REF!</definedName>
    <definedName name="URAIAN101" localSheetId="2">#REF!</definedName>
    <definedName name="URAIAN101" localSheetId="5">#REF!</definedName>
    <definedName name="URAIAN101">#REF!</definedName>
    <definedName name="URAIAN1021" localSheetId="0">#REF!</definedName>
    <definedName name="URAIAN1021" localSheetId="2">#REF!</definedName>
    <definedName name="URAIAN1021">#REF!</definedName>
    <definedName name="URAIAN1022" localSheetId="0">#REF!</definedName>
    <definedName name="URAIAN1022" localSheetId="2">#REF!</definedName>
    <definedName name="URAIAN1022">#REF!</definedName>
    <definedName name="URAIAN1031" localSheetId="0">#REF!</definedName>
    <definedName name="URAIAN1031" localSheetId="2">#REF!</definedName>
    <definedName name="URAIAN1031">#REF!</definedName>
    <definedName name="URAIAN1032" localSheetId="0">#REF!</definedName>
    <definedName name="URAIAN1032" localSheetId="2">#REF!</definedName>
    <definedName name="URAIAN1032">#REF!</definedName>
    <definedName name="URAIAN1041" localSheetId="0">#REF!</definedName>
    <definedName name="URAIAN1041" localSheetId="2">#REF!</definedName>
    <definedName name="URAIAN1041">#REF!</definedName>
    <definedName name="URAIAN1042" localSheetId="0">#REF!</definedName>
    <definedName name="URAIAN1042" localSheetId="2">#REF!</definedName>
    <definedName name="URAIAN1042">#REF!</definedName>
    <definedName name="URAIAN21" localSheetId="5">[4]Div.2!$A$1:$J$113</definedName>
    <definedName name="URAIAN21">[5]Div.2!$A$1:$J$113</definedName>
    <definedName name="URAIAN22E" localSheetId="0">[5]Div.2!#REF!</definedName>
    <definedName name="URAIAN22E" localSheetId="2">[5]Div.2!#REF!</definedName>
    <definedName name="URAIAN22E" localSheetId="5">[4]Div.2!#REF!</definedName>
    <definedName name="URAIAN22E">[5]Div.2!#REF!</definedName>
    <definedName name="URAIAN22L" localSheetId="5">[4]Div.2!$A$115:$J$228</definedName>
    <definedName name="URAIAN22L">[5]Div.2!$A$115:$J$228</definedName>
    <definedName name="URAIAN231" localSheetId="0">[5]Div.2!#REF!</definedName>
    <definedName name="URAIAN231" localSheetId="2">[5]Div.2!#REF!</definedName>
    <definedName name="URAIAN231" localSheetId="5">[4]Div.2!#REF!</definedName>
    <definedName name="URAIAN231">[5]Div.2!#REF!</definedName>
    <definedName name="URAIAN232" localSheetId="0">[5]Div.2!#REF!</definedName>
    <definedName name="URAIAN232" localSheetId="2">[5]Div.2!#REF!</definedName>
    <definedName name="URAIAN232" localSheetId="5">[4]Div.2!#REF!</definedName>
    <definedName name="URAIAN232">[5]Div.2!#REF!</definedName>
    <definedName name="URAIAN233" localSheetId="0">[5]Div.2!#REF!</definedName>
    <definedName name="URAIAN233" localSheetId="2">[5]Div.2!#REF!</definedName>
    <definedName name="URAIAN233" localSheetId="5">[4]Div.2!#REF!</definedName>
    <definedName name="URAIAN233">[5]Div.2!#REF!</definedName>
    <definedName name="URAIAN234" localSheetId="0">#REF!</definedName>
    <definedName name="URAIAN234" localSheetId="2">#REF!</definedName>
    <definedName name="URAIAN234" localSheetId="5">#REF!</definedName>
    <definedName name="URAIAN234">#REF!</definedName>
    <definedName name="URAIAN234L" localSheetId="0">#REF!</definedName>
    <definedName name="URAIAN234L" localSheetId="2">#REF!</definedName>
    <definedName name="URAIAN234L">#REF!</definedName>
    <definedName name="Uraian235" localSheetId="0">'[2]Buis beton'!#REF!</definedName>
    <definedName name="Uraian235" localSheetId="2">'[2]Buis beton'!#REF!</definedName>
    <definedName name="Uraian235" localSheetId="5">'[3]Buis beton'!#REF!</definedName>
    <definedName name="Uraian235">'[2]Buis beton'!#REF!</definedName>
    <definedName name="Uraian236" localSheetId="0">'[2]Buis beton'!#REF!</definedName>
    <definedName name="Uraian236" localSheetId="2">'[2]Buis beton'!#REF!</definedName>
    <definedName name="Uraian236" localSheetId="5">'[3]Buis beton'!#REF!</definedName>
    <definedName name="Uraian236">'[2]Buis beton'!#REF!</definedName>
    <definedName name="URAIAN241" localSheetId="0">[5]Div.2!#REF!</definedName>
    <definedName name="URAIAN241" localSheetId="2">[5]Div.2!#REF!</definedName>
    <definedName name="URAIAN241" localSheetId="5">[4]Div.2!#REF!</definedName>
    <definedName name="URAIAN241">[5]Div.2!#REF!</definedName>
    <definedName name="URAIAN242" localSheetId="0">[5]Div.2!#REF!</definedName>
    <definedName name="URAIAN242" localSheetId="2">[5]Div.2!#REF!</definedName>
    <definedName name="URAIAN242" localSheetId="5">[4]Div.2!#REF!</definedName>
    <definedName name="URAIAN242">[5]Div.2!#REF!</definedName>
    <definedName name="URAIAN243" localSheetId="0">[5]Div.2!#REF!</definedName>
    <definedName name="URAIAN243" localSheetId="2">[5]Div.2!#REF!</definedName>
    <definedName name="URAIAN243" localSheetId="5">[4]Div.2!#REF!</definedName>
    <definedName name="URAIAN243">[5]Div.2!#REF!</definedName>
    <definedName name="URAIAN311" localSheetId="5">[4]Div.3!$A$1:$J$110</definedName>
    <definedName name="URAIAN311">[5]Div.3!$A$1:$J$110</definedName>
    <definedName name="URAIAN312" localSheetId="0">[5]Div.3!#REF!</definedName>
    <definedName name="URAIAN312" localSheetId="2">[5]Div.3!#REF!</definedName>
    <definedName name="URAIAN312" localSheetId="5">[4]Div.3!#REF!</definedName>
    <definedName name="URAIAN312">[5]Div.3!#REF!</definedName>
    <definedName name="URAIAN313" localSheetId="0">[5]Div.3!#REF!</definedName>
    <definedName name="URAIAN313" localSheetId="2">[5]Div.3!#REF!</definedName>
    <definedName name="URAIAN313" localSheetId="5">[4]Div.3!#REF!</definedName>
    <definedName name="URAIAN313">[5]Div.3!#REF!</definedName>
    <definedName name="URAIAN314" localSheetId="5">[4]Div.3!$A$111:$J$220</definedName>
    <definedName name="URAIAN314">[5]Div.3!$A$111:$J$220</definedName>
    <definedName name="URAIAN315" localSheetId="5">[4]Div.3!$A$221:$J$330</definedName>
    <definedName name="URAIAN315">[5]Div.3!$A$221:$J$330</definedName>
    <definedName name="URAIAN316" localSheetId="0">[5]Div.3!#REF!</definedName>
    <definedName name="URAIAN316" localSheetId="2">[5]Div.3!#REF!</definedName>
    <definedName name="URAIAN316" localSheetId="5">[4]Div.3!#REF!</definedName>
    <definedName name="URAIAN316">[5]Div.3!#REF!</definedName>
    <definedName name="URAIAN321" localSheetId="5">[4]Div.3!$A$331:$J$495</definedName>
    <definedName name="URAIAN321">[5]Div.3!$A$331:$J$495</definedName>
    <definedName name="URAIAN322" localSheetId="5">[4]Div.3!$A$496:$J$660</definedName>
    <definedName name="URAIAN322">[5]Div.3!$A$496:$J$660</definedName>
    <definedName name="URAIAN323" localSheetId="0">#REF!</definedName>
    <definedName name="URAIAN323" localSheetId="2">#REF!</definedName>
    <definedName name="URAIAN323" localSheetId="5">#REF!</definedName>
    <definedName name="URAIAN323">#REF!</definedName>
    <definedName name="URAIAN323L" localSheetId="0">#REF!</definedName>
    <definedName name="URAIAN323L" localSheetId="2">#REF!</definedName>
    <definedName name="URAIAN323L">#REF!</definedName>
    <definedName name="URAIAN33" localSheetId="5">[4]Div.3!$A$661:$J$770</definedName>
    <definedName name="URAIAN33">[5]Div.3!$A$661:$J$770</definedName>
    <definedName name="URAIAN421" localSheetId="0">#REF!</definedName>
    <definedName name="URAIAN421" localSheetId="2">#REF!</definedName>
    <definedName name="URAIAN421" localSheetId="5">#REF!</definedName>
    <definedName name="URAIAN421">#REF!</definedName>
    <definedName name="URAIAN422" localSheetId="0">#REF!</definedName>
    <definedName name="URAIAN422" localSheetId="2">#REF!</definedName>
    <definedName name="URAIAN422">#REF!</definedName>
    <definedName name="URAIAN423" localSheetId="0">#REF!</definedName>
    <definedName name="URAIAN423" localSheetId="2">#REF!</definedName>
    <definedName name="URAIAN423">#REF!</definedName>
    <definedName name="URAIAN424" localSheetId="0">#REF!</definedName>
    <definedName name="URAIAN424" localSheetId="2">#REF!</definedName>
    <definedName name="URAIAN424">#REF!</definedName>
    <definedName name="URAIAN425" localSheetId="0">#REF!</definedName>
    <definedName name="URAIAN425" localSheetId="2">#REF!</definedName>
    <definedName name="URAIAN425">#REF!</definedName>
    <definedName name="URAIAN426" localSheetId="0">#REF!</definedName>
    <definedName name="URAIAN426" localSheetId="2">#REF!</definedName>
    <definedName name="URAIAN426">#REF!</definedName>
    <definedName name="URAIAN427" localSheetId="0">#REF!</definedName>
    <definedName name="URAIAN427" localSheetId="2">#REF!</definedName>
    <definedName name="URAIAN427">#REF!</definedName>
    <definedName name="URAIAN511" localSheetId="0">[5]Div.5!#REF!</definedName>
    <definedName name="URAIAN511" localSheetId="2">[5]Div.5!#REF!</definedName>
    <definedName name="URAIAN511" localSheetId="5">[4]Div.5!#REF!</definedName>
    <definedName name="URAIAN511">[5]Div.5!#REF!</definedName>
    <definedName name="URAIAN512" localSheetId="0">[5]Div.5!#REF!</definedName>
    <definedName name="URAIAN512" localSheetId="2">[5]Div.5!#REF!</definedName>
    <definedName name="URAIAN512" localSheetId="5">[4]Div.5!#REF!</definedName>
    <definedName name="URAIAN512">[5]Div.5!#REF!</definedName>
    <definedName name="URAIAN521" localSheetId="5">[4]Div.5!$A$1:$J$115</definedName>
    <definedName name="URAIAN521">[5]Div.5!$A$1:$J$115</definedName>
    <definedName name="URAIAN522" localSheetId="5">[4]Div.5!$A$116:$J$232</definedName>
    <definedName name="URAIAN522">[5]Div.5!$A$116:$J$232</definedName>
    <definedName name="URAIAN541" localSheetId="0">[5]Div.5!#REF!</definedName>
    <definedName name="URAIAN541" localSheetId="2">[5]Div.5!#REF!</definedName>
    <definedName name="URAIAN541" localSheetId="5">[4]Div.5!#REF!</definedName>
    <definedName name="URAIAN541">[5]Div.5!#REF!</definedName>
    <definedName name="URAIAN542" localSheetId="0">[5]Div.5!#REF!</definedName>
    <definedName name="URAIAN542" localSheetId="2">[5]Div.5!#REF!</definedName>
    <definedName name="URAIAN542" localSheetId="5">[4]Div.5!#REF!</definedName>
    <definedName name="URAIAN542">[5]Div.5!#REF!</definedName>
    <definedName name="URAIAN611" localSheetId="5">[4]Div.6!$A$1:$J$114</definedName>
    <definedName name="URAIAN611">[5]Div.6!$A$1:$J$114</definedName>
    <definedName name="URAIAN612" localSheetId="5">[4]Div.6!$A$115:$J$228</definedName>
    <definedName name="URAIAN612">[5]Div.6!$A$115:$J$228</definedName>
    <definedName name="URAIAN621" localSheetId="0">#REF!</definedName>
    <definedName name="URAIAN621" localSheetId="2">#REF!</definedName>
    <definedName name="URAIAN621" localSheetId="5">#REF!</definedName>
    <definedName name="URAIAN621">#REF!</definedName>
    <definedName name="URAIAN622" localSheetId="0">[5]Div.6!#REF!</definedName>
    <definedName name="URAIAN622" localSheetId="2">[5]Div.6!#REF!</definedName>
    <definedName name="URAIAN622" localSheetId="5">[4]Div.6!#REF!</definedName>
    <definedName name="URAIAN622">[5]Div.6!#REF!</definedName>
    <definedName name="URAIAN623" localSheetId="0">[5]Div.6!#REF!</definedName>
    <definedName name="URAIAN623" localSheetId="2">[5]Div.6!#REF!</definedName>
    <definedName name="URAIAN623" localSheetId="5">[4]Div.6!#REF!</definedName>
    <definedName name="URAIAN623">[5]Div.6!#REF!</definedName>
    <definedName name="URAIAN624" localSheetId="0">[5]Div.6!#REF!</definedName>
    <definedName name="URAIAN624" localSheetId="2">[5]Div.6!#REF!</definedName>
    <definedName name="URAIAN624" localSheetId="5">[4]Div.6!#REF!</definedName>
    <definedName name="URAIAN624">[5]Div.6!#REF!</definedName>
    <definedName name="URAIAN631" localSheetId="0">#REF!</definedName>
    <definedName name="URAIAN631" localSheetId="2">#REF!</definedName>
    <definedName name="URAIAN631" localSheetId="5">#REF!</definedName>
    <definedName name="URAIAN631">#REF!</definedName>
    <definedName name="URAIAN632" localSheetId="0">#REF!</definedName>
    <definedName name="URAIAN632" localSheetId="2">#REF!</definedName>
    <definedName name="URAIAN632">#REF!</definedName>
    <definedName name="URAIAN633" localSheetId="0">[5]Div.6!#REF!</definedName>
    <definedName name="URAIAN633" localSheetId="2">[5]Div.6!#REF!</definedName>
    <definedName name="URAIAN633" localSheetId="5">[4]Div.6!#REF!</definedName>
    <definedName name="URAIAN633">[5]Div.6!#REF!</definedName>
    <definedName name="URAIAN634" localSheetId="5">[4]Div.6!$A$229:$J$399</definedName>
    <definedName name="URAIAN634">[5]Div.6!$A$229:$J$399</definedName>
    <definedName name="URAIAN635" localSheetId="0">[5]Div.6!#REF!</definedName>
    <definedName name="URAIAN635" localSheetId="2">[5]Div.6!#REF!</definedName>
    <definedName name="URAIAN635" localSheetId="5">[4]Div.6!#REF!</definedName>
    <definedName name="URAIAN635">[5]Div.6!#REF!</definedName>
    <definedName name="URAIAN635A" localSheetId="0">[5]Div.6!#REF!</definedName>
    <definedName name="URAIAN635A" localSheetId="2">[5]Div.6!#REF!</definedName>
    <definedName name="URAIAN635A" localSheetId="5">[4]Div.6!#REF!</definedName>
    <definedName name="URAIAN635A">[5]Div.6!#REF!</definedName>
    <definedName name="URAIAN636" localSheetId="0">#REF!</definedName>
    <definedName name="URAIAN636" localSheetId="2">#REF!</definedName>
    <definedName name="URAIAN636" localSheetId="5">#REF!</definedName>
    <definedName name="URAIAN636">#REF!</definedName>
    <definedName name="URAIAN641L" localSheetId="0">#REF!</definedName>
    <definedName name="URAIAN641L" localSheetId="2">#REF!</definedName>
    <definedName name="URAIAN641L">#REF!</definedName>
    <definedName name="URAIAN642" localSheetId="0">#REF!</definedName>
    <definedName name="URAIAN642" localSheetId="2">#REF!</definedName>
    <definedName name="URAIAN642">#REF!</definedName>
    <definedName name="URAIAN651" localSheetId="0">[5]Div.6!#REF!</definedName>
    <definedName name="URAIAN651" localSheetId="2">[5]Div.6!#REF!</definedName>
    <definedName name="URAIAN651" localSheetId="5">[4]Div.6!#REF!</definedName>
    <definedName name="URAIAN651">[5]Div.6!#REF!</definedName>
    <definedName name="URAIAN661" localSheetId="5">[4]Div.6!$A$400:$J$570</definedName>
    <definedName name="URAIAN661">[5]Div.6!$A$400:$J$570</definedName>
    <definedName name="URAIAN662" localSheetId="5">[4]Div.6!$A$571:$J$741</definedName>
    <definedName name="URAIAN662">[5]Div.6!$A$571:$J$741</definedName>
    <definedName name="URAIAN7101" localSheetId="0">[2]Bronjong!#REF!</definedName>
    <definedName name="URAIAN7101" localSheetId="2">[2]Bronjong!#REF!</definedName>
    <definedName name="URAIAN7101" localSheetId="5">[3]Bronjong!#REF!</definedName>
    <definedName name="URAIAN7101">[2]Bronjong!#REF!</definedName>
    <definedName name="URAIAN7102" localSheetId="0">[2]Bronjong!#REF!</definedName>
    <definedName name="URAIAN7102" localSheetId="2">[2]Bronjong!#REF!</definedName>
    <definedName name="URAIAN7102" localSheetId="5">[3]Bronjong!#REF!</definedName>
    <definedName name="URAIAN7102">[2]Bronjong!#REF!</definedName>
    <definedName name="URAIAN7103" localSheetId="0">#REF!</definedName>
    <definedName name="URAIAN7103" localSheetId="2">#REF!</definedName>
    <definedName name="URAIAN7103" localSheetId="5">#REF!</definedName>
    <definedName name="URAIAN7103">#REF!</definedName>
    <definedName name="URAIAN711" localSheetId="0">#REF!</definedName>
    <definedName name="URAIAN711" localSheetId="2">#REF!</definedName>
    <definedName name="URAIAN711">#REF!</definedName>
    <definedName name="URAIAN712" localSheetId="0">[2]Bronjong!#REF!</definedName>
    <definedName name="URAIAN712" localSheetId="2">[2]Bronjong!#REF!</definedName>
    <definedName name="URAIAN712" localSheetId="5">[3]Bronjong!#REF!</definedName>
    <definedName name="URAIAN712">[2]Bronjong!#REF!</definedName>
    <definedName name="URAIAN713" localSheetId="0">[2]Bronjong!#REF!</definedName>
    <definedName name="URAIAN713" localSheetId="2">[2]Bronjong!#REF!</definedName>
    <definedName name="URAIAN713" localSheetId="5">[3]Bronjong!#REF!</definedName>
    <definedName name="URAIAN713">[2]Bronjong!#REF!</definedName>
    <definedName name="URAIAN714" localSheetId="0">#REF!</definedName>
    <definedName name="URAIAN714" localSheetId="2">#REF!</definedName>
    <definedName name="URAIAN714" localSheetId="5">#REF!</definedName>
    <definedName name="URAIAN714">#REF!</definedName>
    <definedName name="URAIAN715" localSheetId="0">[2]Bronjong!#REF!</definedName>
    <definedName name="URAIAN715" localSheetId="2">[2]Bronjong!#REF!</definedName>
    <definedName name="URAIAN715" localSheetId="5">[3]Bronjong!#REF!</definedName>
    <definedName name="URAIAN715">[2]Bronjong!#REF!</definedName>
    <definedName name="URAIAN716" localSheetId="0">[2]Bronjong!#REF!</definedName>
    <definedName name="URAIAN716" localSheetId="2">[2]Bronjong!#REF!</definedName>
    <definedName name="URAIAN716" localSheetId="5">[3]Bronjong!#REF!</definedName>
    <definedName name="URAIAN716">[2]Bronjong!#REF!</definedName>
    <definedName name="URAIAN717" localSheetId="0">[2]Bronjong!#REF!</definedName>
    <definedName name="URAIAN717" localSheetId="2">[2]Bronjong!#REF!</definedName>
    <definedName name="URAIAN717" localSheetId="5">[3]Bronjong!#REF!</definedName>
    <definedName name="URAIAN717">[2]Bronjong!#REF!</definedName>
    <definedName name="URAIAN718" localSheetId="0">[2]Bronjong!#REF!</definedName>
    <definedName name="URAIAN718" localSheetId="2">[2]Bronjong!#REF!</definedName>
    <definedName name="URAIAN718" localSheetId="5">[3]Bronjong!#REF!</definedName>
    <definedName name="URAIAN718">[2]Bronjong!#REF!</definedName>
    <definedName name="URAIAN73PL" localSheetId="0">#REF!</definedName>
    <definedName name="URAIAN73PL" localSheetId="2">#REF!</definedName>
    <definedName name="URAIAN73PL" localSheetId="5">#REF!</definedName>
    <definedName name="URAIAN73PL">#REF!</definedName>
    <definedName name="URAIAN73UL" localSheetId="0">#REF!</definedName>
    <definedName name="URAIAN73UL" localSheetId="2">#REF!</definedName>
    <definedName name="URAIAN73UL">#REF!</definedName>
    <definedName name="URAIAN744" localSheetId="0">[2]Bronjong!#REF!</definedName>
    <definedName name="URAIAN744" localSheetId="2">[2]Bronjong!#REF!</definedName>
    <definedName name="URAIAN744" localSheetId="5">[3]Bronjong!#REF!</definedName>
    <definedName name="URAIAN744">[2]Bronjong!#REF!</definedName>
    <definedName name="URAIAN745" localSheetId="0">[2]Bronjong!#REF!</definedName>
    <definedName name="URAIAN745" localSheetId="2">[2]Bronjong!#REF!</definedName>
    <definedName name="URAIAN745" localSheetId="5">[3]Bronjong!#REF!</definedName>
    <definedName name="URAIAN745">[2]Bronjong!#REF!</definedName>
    <definedName name="URAIAN751" localSheetId="0">#REF!</definedName>
    <definedName name="URAIAN751" localSheetId="2">#REF!</definedName>
    <definedName name="URAIAN751" localSheetId="5">#REF!</definedName>
    <definedName name="URAIAN751">#REF!</definedName>
    <definedName name="URAIAN752" localSheetId="0">#REF!</definedName>
    <definedName name="URAIAN752" localSheetId="2">#REF!</definedName>
    <definedName name="URAIAN752">#REF!</definedName>
    <definedName name="URAIAN7610" localSheetId="0">[2]Bronjong!#REF!</definedName>
    <definedName name="URAIAN7610" localSheetId="2">[2]Bronjong!#REF!</definedName>
    <definedName name="URAIAN7610" localSheetId="5">[3]Bronjong!#REF!</definedName>
    <definedName name="URAIAN7610">[2]Bronjong!#REF!</definedName>
    <definedName name="URAIAN7611" localSheetId="0">#REF!</definedName>
    <definedName name="URAIAN7611" localSheetId="2">#REF!</definedName>
    <definedName name="URAIAN7611" localSheetId="5">#REF!</definedName>
    <definedName name="URAIAN7611">#REF!</definedName>
    <definedName name="URAIAN7612" localSheetId="0">#REF!</definedName>
    <definedName name="URAIAN7612" localSheetId="2">#REF!</definedName>
    <definedName name="URAIAN7612">#REF!</definedName>
    <definedName name="URAIAN7612a" localSheetId="0">[2]Bronjong!#REF!</definedName>
    <definedName name="URAIAN7612a" localSheetId="2">[2]Bronjong!#REF!</definedName>
    <definedName name="URAIAN7612a" localSheetId="5">[3]Bronjong!#REF!</definedName>
    <definedName name="URAIAN7612a">[2]Bronjong!#REF!</definedName>
    <definedName name="URAIAN7612b" localSheetId="0">[2]Bronjong!#REF!</definedName>
    <definedName name="URAIAN7612b" localSheetId="2">[2]Bronjong!#REF!</definedName>
    <definedName name="URAIAN7612b" localSheetId="5">[3]Bronjong!#REF!</definedName>
    <definedName name="URAIAN7612b">[2]Bronjong!#REF!</definedName>
    <definedName name="URAIAN7612c" localSheetId="0">[2]Bronjong!#REF!</definedName>
    <definedName name="URAIAN7612c" localSheetId="2">[2]Bronjong!#REF!</definedName>
    <definedName name="URAIAN7612c" localSheetId="5">[3]Bronjong!#REF!</definedName>
    <definedName name="URAIAN7612c">[2]Bronjong!#REF!</definedName>
    <definedName name="URAIAN7613" localSheetId="0">#REF!</definedName>
    <definedName name="URAIAN7613" localSheetId="2">#REF!</definedName>
    <definedName name="URAIAN7613" localSheetId="5">#REF!</definedName>
    <definedName name="URAIAN7613">#REF!</definedName>
    <definedName name="URAIAN7613a" localSheetId="0">[2]Bronjong!#REF!</definedName>
    <definedName name="URAIAN7613a" localSheetId="2">[2]Bronjong!#REF!</definedName>
    <definedName name="URAIAN7613a" localSheetId="5">[3]Bronjong!#REF!</definedName>
    <definedName name="URAIAN7613a">[2]Bronjong!#REF!</definedName>
    <definedName name="URAIAN7613b" localSheetId="0">[2]Bronjong!#REF!</definedName>
    <definedName name="URAIAN7613b" localSheetId="2">[2]Bronjong!#REF!</definedName>
    <definedName name="URAIAN7613b" localSheetId="5">[3]Bronjong!#REF!</definedName>
    <definedName name="URAIAN7613b">[2]Bronjong!#REF!</definedName>
    <definedName name="URAIAN7613c" localSheetId="0">[2]Bronjong!#REF!</definedName>
    <definedName name="URAIAN7613c" localSheetId="2">[2]Bronjong!#REF!</definedName>
    <definedName name="URAIAN7613c" localSheetId="5">[3]Bronjong!#REF!</definedName>
    <definedName name="URAIAN7613c">[2]Bronjong!#REF!</definedName>
    <definedName name="URAIAN7614" localSheetId="0">#REF!</definedName>
    <definedName name="URAIAN7614" localSheetId="2">#REF!</definedName>
    <definedName name="URAIAN7614" localSheetId="5">#REF!</definedName>
    <definedName name="URAIAN7614">#REF!</definedName>
    <definedName name="URAIAN7614a" localSheetId="0">[2]Bronjong!#REF!</definedName>
    <definedName name="URAIAN7614a" localSheetId="2">[2]Bronjong!#REF!</definedName>
    <definedName name="URAIAN7614a" localSheetId="5">[3]Bronjong!#REF!</definedName>
    <definedName name="URAIAN7614a">[2]Bronjong!#REF!</definedName>
    <definedName name="URAIAN7614b" localSheetId="0">[2]Bronjong!#REF!</definedName>
    <definedName name="URAIAN7614b" localSheetId="2">[2]Bronjong!#REF!</definedName>
    <definedName name="URAIAN7614b" localSheetId="5">[3]Bronjong!#REF!</definedName>
    <definedName name="URAIAN7614b">[2]Bronjong!#REF!</definedName>
    <definedName name="URAIAN7614d" localSheetId="0">[2]Bronjong!#REF!</definedName>
    <definedName name="URAIAN7614d" localSheetId="2">[2]Bronjong!#REF!</definedName>
    <definedName name="URAIAN7614d" localSheetId="5">[3]Bronjong!#REF!</definedName>
    <definedName name="URAIAN7614d">[2]Bronjong!#REF!</definedName>
    <definedName name="URAIAN7614e" localSheetId="0">[2]Bronjong!#REF!</definedName>
    <definedName name="URAIAN7614e" localSheetId="2">[2]Bronjong!#REF!</definedName>
    <definedName name="URAIAN7614e" localSheetId="5">[3]Bronjong!#REF!</definedName>
    <definedName name="URAIAN7614e">[2]Bronjong!#REF!</definedName>
    <definedName name="URAIAN7615" localSheetId="0">#REF!</definedName>
    <definedName name="URAIAN7615" localSheetId="2">#REF!</definedName>
    <definedName name="URAIAN7615" localSheetId="5">#REF!</definedName>
    <definedName name="URAIAN7615">#REF!</definedName>
    <definedName name="URAIAN7616" localSheetId="0">#REF!</definedName>
    <definedName name="URAIAN7616" localSheetId="2">#REF!</definedName>
    <definedName name="URAIAN7616">#REF!</definedName>
    <definedName name="URAIAN7617" localSheetId="0">#REF!</definedName>
    <definedName name="URAIAN7617" localSheetId="2">#REF!</definedName>
    <definedName name="URAIAN7617">#REF!</definedName>
    <definedName name="URAIAN7618" localSheetId="0">[2]Bronjong!#REF!</definedName>
    <definedName name="URAIAN7618" localSheetId="2">[2]Bronjong!#REF!</definedName>
    <definedName name="URAIAN7618" localSheetId="5">[3]Bronjong!#REF!</definedName>
    <definedName name="URAIAN7618">[2]Bronjong!#REF!</definedName>
    <definedName name="URAIAN7619" localSheetId="0">[2]Bronjong!#REF!</definedName>
    <definedName name="URAIAN7619" localSheetId="2">[2]Bronjong!#REF!</definedName>
    <definedName name="URAIAN7619" localSheetId="5">[3]Bronjong!#REF!</definedName>
    <definedName name="URAIAN7619">[2]Bronjong!#REF!</definedName>
    <definedName name="URAIAN7620" localSheetId="0">#REF!</definedName>
    <definedName name="URAIAN7620" localSheetId="2">#REF!</definedName>
    <definedName name="URAIAN7620" localSheetId="5">#REF!</definedName>
    <definedName name="URAIAN7620">#REF!</definedName>
    <definedName name="URAIAN7621" localSheetId="0">#REF!</definedName>
    <definedName name="URAIAN7621" localSheetId="2">#REF!</definedName>
    <definedName name="URAIAN7621">#REF!</definedName>
    <definedName name="URAIAN7625" localSheetId="0">#REF!</definedName>
    <definedName name="URAIAN7625" localSheetId="2">#REF!</definedName>
    <definedName name="URAIAN7625">#REF!</definedName>
    <definedName name="URAIAN7626" localSheetId="0">#REF!</definedName>
    <definedName name="URAIAN7626" localSheetId="2">#REF!</definedName>
    <definedName name="URAIAN7626">#REF!</definedName>
    <definedName name="URAIAN767" localSheetId="0">#REF!</definedName>
    <definedName name="URAIAN767" localSheetId="2">#REF!</definedName>
    <definedName name="URAIAN767">#REF!</definedName>
    <definedName name="URAIAN768" localSheetId="0">[2]Bronjong!#REF!</definedName>
    <definedName name="URAIAN768" localSheetId="2">[2]Bronjong!#REF!</definedName>
    <definedName name="URAIAN768" localSheetId="5">[3]Bronjong!#REF!</definedName>
    <definedName name="URAIAN768">[2]Bronjong!#REF!</definedName>
    <definedName name="URAIAN769" localSheetId="0">[2]Bronjong!#REF!</definedName>
    <definedName name="URAIAN769" localSheetId="2">[2]Bronjong!#REF!</definedName>
    <definedName name="URAIAN769" localSheetId="5">[3]Bronjong!#REF!</definedName>
    <definedName name="URAIAN769">[2]Bronjong!#REF!</definedName>
    <definedName name="URAIAN76x" localSheetId="0">[2]Bronjong!#REF!</definedName>
    <definedName name="URAIAN76x" localSheetId="2">[2]Bronjong!#REF!</definedName>
    <definedName name="URAIAN76x" localSheetId="5">[3]Bronjong!#REF!</definedName>
    <definedName name="URAIAN76x">[2]Bronjong!#REF!</definedName>
    <definedName name="URAIAN771" localSheetId="0">#REF!</definedName>
    <definedName name="URAIAN771" localSheetId="2">#REF!</definedName>
    <definedName name="URAIAN771" localSheetId="5">#REF!</definedName>
    <definedName name="URAIAN771">#REF!</definedName>
    <definedName name="URAIAN775" localSheetId="0">#REF!</definedName>
    <definedName name="URAIAN775" localSheetId="2">#REF!</definedName>
    <definedName name="URAIAN775">#REF!</definedName>
    <definedName name="URAIAN79" localSheetId="0">#REF!</definedName>
    <definedName name="URAIAN79" localSheetId="2">#REF!</definedName>
    <definedName name="URAIAN79">#REF!</definedName>
    <definedName name="URAIAN79L" localSheetId="0">#REF!</definedName>
    <definedName name="URAIAN79L" localSheetId="2">#REF!</definedName>
    <definedName name="URAIAN79L">#REF!</definedName>
    <definedName name="URAIAN79manual" localSheetId="0">[2]Bronjong!#REF!</definedName>
    <definedName name="URAIAN79manual" localSheetId="2">[2]Bronjong!#REF!</definedName>
    <definedName name="URAIAN79manual" localSheetId="5">[3]Bronjong!#REF!</definedName>
    <definedName name="URAIAN79manual">[2]Bronjong!#REF!</definedName>
    <definedName name="URAIAN79mekanis" localSheetId="0">[2]Bronjong!#REF!</definedName>
    <definedName name="URAIAN79mekanis" localSheetId="2">[2]Bronjong!#REF!</definedName>
    <definedName name="URAIAN79mekanis" localSheetId="5">[3]Bronjong!#REF!</definedName>
    <definedName name="URAIAN79mekanis">[2]Bronjong!#REF!</definedName>
    <definedName name="URAIAN811" localSheetId="5">[4]Div.8!$A$1:$J$177</definedName>
    <definedName name="URAIAN811">[5]Div.8!$A$1:$J$177</definedName>
    <definedName name="URAIAN812" localSheetId="5">[4]Div.8!$A$178:$J$352</definedName>
    <definedName name="URAIAN812">[5]Div.8!$A$178:$J$352</definedName>
    <definedName name="URAIAN813" localSheetId="0">[5]Div.8!#REF!</definedName>
    <definedName name="URAIAN813" localSheetId="2">[5]Div.8!#REF!</definedName>
    <definedName name="URAIAN813" localSheetId="5">[4]Div.8!#REF!</definedName>
    <definedName name="URAIAN813">[5]Div.8!#REF!</definedName>
    <definedName name="URAIAN814" localSheetId="0">[5]Div.8!#REF!</definedName>
    <definedName name="URAIAN814" localSheetId="2">[5]Div.8!#REF!</definedName>
    <definedName name="URAIAN814" localSheetId="5">[4]Div.8!#REF!</definedName>
    <definedName name="URAIAN814">[5]Div.8!#REF!</definedName>
    <definedName name="URAIAN815" localSheetId="0">[5]Div.8!#REF!</definedName>
    <definedName name="URAIAN815" localSheetId="2">[5]Div.8!#REF!</definedName>
    <definedName name="URAIAN815" localSheetId="5">[4]Div.8!#REF!</definedName>
    <definedName name="URAIAN815">[5]Div.8!#REF!</definedName>
    <definedName name="URAIAN817" localSheetId="5">[4]Div.8!$A$353:$J$528</definedName>
    <definedName name="URAIAN817">[5]Div.8!$A$353:$J$528</definedName>
    <definedName name="URAIAN818" localSheetId="0">[5]Div.8!#REF!</definedName>
    <definedName name="URAIAN818" localSheetId="2">[5]Div.8!#REF!</definedName>
    <definedName name="URAIAN818" localSheetId="5">[4]Div.8!#REF!</definedName>
    <definedName name="URAIAN818">[5]Div.8!#REF!</definedName>
    <definedName name="URAIAN819" localSheetId="0">[5]Div.8!#REF!</definedName>
    <definedName name="URAIAN819" localSheetId="2">[5]Div.8!#REF!</definedName>
    <definedName name="URAIAN819" localSheetId="5">[4]Div.8!#REF!</definedName>
    <definedName name="URAIAN819">[5]Div.8!#REF!</definedName>
    <definedName name="URAIAN82" localSheetId="5">[4]Div.8!$A$529:$J$644</definedName>
    <definedName name="URAIAN82">[5]Div.8!$A$529:$J$644</definedName>
    <definedName name="URAIAN83" localSheetId="0">[5]Div.8!#REF!</definedName>
    <definedName name="URAIAN83" localSheetId="2">[5]Div.8!#REF!</definedName>
    <definedName name="URAIAN83" localSheetId="5">[4]Div.8!#REF!</definedName>
    <definedName name="URAIAN83">[5]Div.8!#REF!</definedName>
    <definedName name="URAIANGEOTEKSTIL" localSheetId="0">[2]Bronjong!#REF!</definedName>
    <definedName name="URAIANGEOTEKSTIL" localSheetId="2">[2]Bronjong!#REF!</definedName>
    <definedName name="URAIANGEOTEKSTIL" localSheetId="5">[3]Bronjong!#REF!</definedName>
    <definedName name="URAIANGEOTEKSTIL">[2]Bronjong!#REF!</definedName>
    <definedName name="URAIANLatasirK" localSheetId="0">#REF!</definedName>
    <definedName name="URAIANLatasirK" localSheetId="2">#REF!</definedName>
    <definedName name="URAIANLatasirK" localSheetId="5">#REF!</definedName>
    <definedName name="URAIANLatasirK">#REF!</definedName>
    <definedName name="URAIANLatasirKL" localSheetId="0">#REF!</definedName>
    <definedName name="URAIANLatasirKL" localSheetId="2">#REF!</definedName>
    <definedName name="URAIANLatasirKL">#REF!</definedName>
    <definedName name="UTAIAN7614c" localSheetId="0">[2]Bronjong!#REF!</definedName>
    <definedName name="UTAIAN7614c" localSheetId="2">[2]Bronjong!#REF!</definedName>
    <definedName name="UTAIAN7614c" localSheetId="5">[3]Bronjong!#REF!</definedName>
    <definedName name="UTAIAN7614c">[2]Bronjong!#REF!</definedName>
    <definedName name="VIBROROLLER" localSheetId="0">[5]Alat!#REF!</definedName>
    <definedName name="VIBROROLLER" localSheetId="2">[5]Alat!#REF!</definedName>
    <definedName name="VIBROROLLER" localSheetId="5">[4]Alat!#REF!</definedName>
    <definedName name="VIBROROLLER">[5]Alat!#REF!</definedName>
    <definedName name="WATERPUMP" localSheetId="0">[5]Alat!#REF!</definedName>
    <definedName name="WATERPUMP" localSheetId="2">[5]Alat!#REF!</definedName>
    <definedName name="WATERPUMP" localSheetId="5">[4]Alat!#REF!</definedName>
    <definedName name="WATERPUMP">[5]Alat!#REF!</definedName>
    <definedName name="WATERTANKER" localSheetId="0">[5]Alat!#REF!</definedName>
    <definedName name="WATERTANKER" localSheetId="2">[5]Alat!#REF!</definedName>
    <definedName name="WATERTANKER" localSheetId="5">[4]Alat!#REF!</definedName>
    <definedName name="WATERTANKER">[5]Alat!#REF!</definedName>
    <definedName name="WHEELLOADER" localSheetId="0">[5]Alat!#REF!</definedName>
    <definedName name="WHEELLOADER" localSheetId="2">[5]Alat!#REF!</definedName>
    <definedName name="WHEELLOADER" localSheetId="5">[4]Alat!#REF!</definedName>
    <definedName name="WHEELLOADER">[5]Alat!#REF!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D12" i="33" l="1"/>
  <c r="AF12" i="33"/>
  <c r="AH12" i="33"/>
  <c r="AI12" i="33"/>
  <c r="AJ12" i="33"/>
  <c r="AK12" i="33"/>
  <c r="AD13" i="33"/>
  <c r="AH13" i="33"/>
  <c r="AI13" i="33"/>
  <c r="AJ13" i="33"/>
  <c r="AK13" i="33"/>
  <c r="AD14" i="33"/>
  <c r="AG14" i="33"/>
  <c r="AH14" i="33"/>
  <c r="AI14" i="33"/>
  <c r="AJ14" i="33"/>
  <c r="AK14" i="33"/>
  <c r="AD15" i="33"/>
  <c r="AG15" i="33"/>
  <c r="AH15" i="33"/>
  <c r="AI15" i="33"/>
  <c r="AJ15" i="33"/>
  <c r="AK15" i="33"/>
  <c r="AD16" i="33"/>
  <c r="AH16" i="33"/>
  <c r="AI16" i="33"/>
  <c r="AJ16" i="33"/>
  <c r="AK16" i="33"/>
  <c r="AD17" i="33"/>
  <c r="AH17" i="33"/>
  <c r="AI17" i="33"/>
  <c r="AJ17" i="33"/>
  <c r="AK17" i="33"/>
  <c r="AD18" i="33"/>
  <c r="AG18" i="33"/>
  <c r="AH18" i="33"/>
  <c r="AI18" i="33"/>
  <c r="AJ18" i="33"/>
  <c r="AK18" i="33"/>
  <c r="AD19" i="33"/>
  <c r="AH19" i="33"/>
  <c r="AI19" i="33"/>
  <c r="AJ19" i="33"/>
  <c r="AK19" i="33"/>
  <c r="AG20" i="33"/>
  <c r="AK20" i="33"/>
  <c r="AD21" i="33"/>
  <c r="AH21" i="33"/>
  <c r="AD22" i="33"/>
  <c r="AH22" i="33"/>
  <c r="AI22" i="33"/>
  <c r="AJ22" i="33"/>
  <c r="AK22" i="33"/>
  <c r="AD23" i="33"/>
  <c r="AH23" i="33"/>
  <c r="AI23" i="33"/>
  <c r="AJ23" i="33"/>
  <c r="AK23" i="33"/>
  <c r="AD24" i="33"/>
  <c r="AH24" i="33"/>
  <c r="AI24" i="33"/>
  <c r="AJ24" i="33"/>
  <c r="AK24" i="33"/>
  <c r="AD25" i="33"/>
  <c r="AG25" i="33"/>
  <c r="AH25" i="33"/>
  <c r="AI25" i="33"/>
  <c r="AJ25" i="33"/>
  <c r="AK25" i="33"/>
  <c r="AD26" i="33"/>
  <c r="AH26" i="33"/>
  <c r="AI26" i="33"/>
  <c r="AJ26" i="33"/>
  <c r="AK26" i="33"/>
  <c r="AD27" i="33"/>
  <c r="AH27" i="33"/>
  <c r="AI27" i="33"/>
  <c r="AJ27" i="33"/>
  <c r="AK27" i="33"/>
  <c r="AD28" i="33"/>
  <c r="AH28" i="33"/>
  <c r="AI28" i="33"/>
  <c r="AJ28" i="33"/>
  <c r="AK28" i="33"/>
  <c r="AD29" i="33"/>
  <c r="AG29" i="33"/>
  <c r="AH29" i="33"/>
  <c r="AI29" i="33"/>
  <c r="AJ29" i="33"/>
  <c r="AK29" i="33"/>
  <c r="AD30" i="33"/>
  <c r="AG30" i="33"/>
  <c r="AJ30" i="33"/>
  <c r="AK30" i="33"/>
  <c r="AD31" i="33"/>
  <c r="AH31" i="33"/>
  <c r="AI31" i="33"/>
  <c r="AJ31" i="33"/>
  <c r="AK31" i="33"/>
  <c r="AD32" i="33"/>
  <c r="AH32" i="33"/>
  <c r="AI32" i="33"/>
  <c r="AJ32" i="33"/>
  <c r="AK32" i="33"/>
  <c r="AD33" i="33"/>
  <c r="AH33" i="33"/>
  <c r="AI33" i="33"/>
  <c r="AJ33" i="33"/>
  <c r="AK33" i="33"/>
  <c r="AD34" i="33"/>
  <c r="AG34" i="33"/>
  <c r="AH34" i="33"/>
  <c r="AI34" i="33"/>
  <c r="AJ34" i="33"/>
  <c r="AK34" i="33"/>
  <c r="AD35" i="33"/>
  <c r="AG35" i="33"/>
  <c r="AH35" i="33"/>
  <c r="AI35" i="33"/>
  <c r="AJ35" i="33"/>
  <c r="AK35" i="33"/>
  <c r="AD36" i="33"/>
  <c r="AH36" i="33"/>
  <c r="AI36" i="33"/>
  <c r="AJ36" i="33"/>
  <c r="AK36" i="33"/>
  <c r="AD37" i="33"/>
  <c r="AG37" i="33"/>
  <c r="AH37" i="33"/>
  <c r="AI37" i="33"/>
  <c r="AJ37" i="33"/>
  <c r="AK37" i="33"/>
  <c r="AD38" i="33"/>
  <c r="AG38" i="33"/>
  <c r="AH38" i="33"/>
  <c r="AI38" i="33"/>
  <c r="AJ38" i="33"/>
  <c r="AK38" i="33"/>
  <c r="AD39" i="33"/>
  <c r="AH39" i="33"/>
  <c r="AI39" i="33"/>
  <c r="AJ39" i="33"/>
  <c r="AK39" i="33"/>
  <c r="AD40" i="33"/>
  <c r="AG40" i="33"/>
  <c r="AH40" i="33"/>
  <c r="AI40" i="33"/>
  <c r="AJ40" i="33"/>
  <c r="AK40" i="33"/>
  <c r="AD41" i="33"/>
  <c r="AH41" i="33"/>
  <c r="AI41" i="33"/>
  <c r="AJ41" i="33"/>
  <c r="AK41" i="33"/>
  <c r="AG42" i="33"/>
  <c r="AK42" i="33"/>
  <c r="AD43" i="33"/>
  <c r="AH43" i="33"/>
  <c r="AI43" i="33"/>
  <c r="AJ43" i="33"/>
  <c r="AK43" i="33"/>
  <c r="AD44" i="33"/>
  <c r="AH44" i="33"/>
  <c r="AI44" i="33"/>
  <c r="AJ44" i="33"/>
  <c r="AK44" i="33"/>
  <c r="AG45" i="33"/>
  <c r="AK45" i="33"/>
  <c r="AG46" i="33"/>
  <c r="AK46" i="33"/>
  <c r="AD47" i="33"/>
  <c r="AH47" i="33"/>
  <c r="AI47" i="33"/>
  <c r="AJ47" i="33"/>
  <c r="AK47" i="33"/>
  <c r="AD48" i="33"/>
  <c r="AG48" i="33"/>
  <c r="AH48" i="33"/>
  <c r="AI48" i="33"/>
  <c r="AJ48" i="33"/>
  <c r="AK48" i="33"/>
  <c r="AD49" i="33"/>
  <c r="AH49" i="33"/>
  <c r="AI49" i="33"/>
  <c r="AJ49" i="33"/>
  <c r="AK49" i="33"/>
  <c r="AD50" i="33"/>
  <c r="AH50" i="33"/>
  <c r="AI50" i="33"/>
  <c r="AJ50" i="33"/>
  <c r="AK50" i="33"/>
  <c r="AD51" i="33"/>
  <c r="AH51" i="33"/>
  <c r="AI51" i="33"/>
  <c r="AJ51" i="33"/>
  <c r="AK51" i="33"/>
  <c r="AD52" i="33"/>
  <c r="AH52" i="33"/>
  <c r="AI52" i="33"/>
  <c r="AJ52" i="33"/>
  <c r="AK52" i="33"/>
  <c r="AD53" i="33"/>
  <c r="AH53" i="33"/>
  <c r="AI53" i="33"/>
  <c r="AJ53" i="33"/>
  <c r="AK53" i="33"/>
  <c r="AD54" i="33"/>
  <c r="AH54" i="33"/>
  <c r="AI54" i="33"/>
  <c r="AJ54" i="33"/>
  <c r="AK54" i="33"/>
  <c r="AD55" i="33"/>
  <c r="AG55" i="33"/>
  <c r="AH55" i="33"/>
  <c r="AI55" i="33"/>
  <c r="AJ55" i="33"/>
  <c r="AK55" i="33"/>
  <c r="AD56" i="33"/>
  <c r="AH56" i="33"/>
  <c r="AI56" i="33"/>
  <c r="AJ56" i="33"/>
  <c r="AK56" i="33"/>
  <c r="AD57" i="33"/>
  <c r="AH57" i="33"/>
  <c r="AI57" i="33"/>
  <c r="AJ57" i="33"/>
  <c r="AK57" i="33"/>
  <c r="AD58" i="33"/>
  <c r="AH58" i="33"/>
  <c r="AI58" i="33"/>
  <c r="AJ58" i="33"/>
  <c r="AK58" i="33"/>
  <c r="AD59" i="33"/>
  <c r="AH59" i="33"/>
  <c r="AI59" i="33"/>
  <c r="AJ59" i="33"/>
  <c r="AK59" i="33"/>
  <c r="AD60" i="33"/>
  <c r="AH60" i="33"/>
  <c r="AI60" i="33"/>
  <c r="AJ60" i="33"/>
  <c r="AK60" i="33"/>
  <c r="AD61" i="33"/>
  <c r="AH61" i="33"/>
  <c r="AI61" i="33"/>
  <c r="AJ61" i="33"/>
  <c r="AK61" i="33"/>
  <c r="AD62" i="33"/>
  <c r="AH62" i="33"/>
  <c r="AI62" i="33"/>
  <c r="AJ62" i="33"/>
  <c r="AK62" i="33"/>
  <c r="AD63" i="33"/>
  <c r="AH63" i="33"/>
  <c r="AI63" i="33"/>
  <c r="AJ63" i="33"/>
  <c r="AK63" i="33"/>
  <c r="AD64" i="33"/>
  <c r="AH64" i="33"/>
  <c r="AI64" i="33"/>
  <c r="AJ64" i="33"/>
  <c r="AK64" i="33"/>
  <c r="AD65" i="33"/>
  <c r="AH65" i="33"/>
  <c r="AI65" i="33"/>
  <c r="AJ65" i="33"/>
  <c r="AK65" i="33"/>
  <c r="AD66" i="33"/>
  <c r="AH66" i="33"/>
  <c r="AI66" i="33"/>
  <c r="AJ66" i="33"/>
  <c r="AK66" i="33"/>
  <c r="AD67" i="33"/>
  <c r="AH67" i="33"/>
  <c r="AI67" i="33"/>
  <c r="AJ67" i="33"/>
  <c r="AK67" i="33"/>
  <c r="AD68" i="33"/>
  <c r="AH68" i="33"/>
  <c r="AI68" i="33"/>
  <c r="AJ68" i="33"/>
  <c r="AK68" i="33"/>
  <c r="AD69" i="33"/>
  <c r="AG69" i="33"/>
  <c r="AH69" i="33"/>
  <c r="AI69" i="33"/>
  <c r="AJ69" i="33"/>
  <c r="AK69" i="33"/>
  <c r="AD70" i="33"/>
  <c r="AG70" i="33"/>
  <c r="AH70" i="33"/>
  <c r="AI70" i="33"/>
  <c r="AJ70" i="33"/>
  <c r="AK70" i="33"/>
  <c r="AD71" i="33"/>
  <c r="AG71" i="33"/>
  <c r="AH71" i="33"/>
  <c r="AI71" i="33"/>
  <c r="AJ71" i="33"/>
  <c r="AK71" i="33"/>
  <c r="AD72" i="33"/>
  <c r="AG72" i="33"/>
  <c r="AH72" i="33"/>
  <c r="AI72" i="33"/>
  <c r="AJ72" i="33"/>
  <c r="AK72" i="33"/>
  <c r="AD73" i="33"/>
  <c r="AG73" i="33"/>
  <c r="AH73" i="33"/>
  <c r="AI73" i="33"/>
  <c r="AJ73" i="33"/>
  <c r="AK73" i="33"/>
  <c r="AD74" i="33"/>
  <c r="AH74" i="33"/>
  <c r="AI74" i="33"/>
  <c r="AJ74" i="33"/>
  <c r="AK74" i="33"/>
  <c r="AD75" i="33"/>
  <c r="AH75" i="33"/>
  <c r="AI75" i="33"/>
  <c r="AJ75" i="33"/>
  <c r="AK75" i="33"/>
  <c r="AD76" i="33"/>
  <c r="AG76" i="33"/>
  <c r="AH76" i="33"/>
  <c r="AI76" i="33"/>
  <c r="AJ76" i="33"/>
  <c r="AK76" i="33"/>
  <c r="AD77" i="33"/>
  <c r="AG77" i="33"/>
  <c r="AH77" i="33"/>
  <c r="AI77" i="33"/>
  <c r="AJ77" i="33"/>
  <c r="AK77" i="33"/>
  <c r="AD78" i="33"/>
  <c r="AH78" i="33"/>
  <c r="AI78" i="33"/>
  <c r="AJ78" i="33"/>
  <c r="AK78" i="33"/>
  <c r="AD79" i="33"/>
  <c r="AH79" i="33"/>
  <c r="AI79" i="33"/>
  <c r="AJ79" i="33"/>
  <c r="AK79" i="33"/>
  <c r="AD80" i="33"/>
  <c r="AG80" i="33"/>
  <c r="AH80" i="33"/>
  <c r="AI80" i="33"/>
  <c r="AJ80" i="33"/>
  <c r="AK80" i="33"/>
  <c r="AD81" i="33"/>
  <c r="AG81" i="33"/>
  <c r="AH81" i="33"/>
  <c r="AI81" i="33"/>
  <c r="AJ81" i="33"/>
  <c r="AK81" i="33"/>
  <c r="AD82" i="33"/>
  <c r="AG82" i="33"/>
  <c r="AH82" i="33"/>
  <c r="AI82" i="33"/>
  <c r="AJ82" i="33"/>
  <c r="AK82" i="33"/>
  <c r="AD83" i="33"/>
  <c r="AG83" i="33"/>
  <c r="AH83" i="33"/>
  <c r="AI83" i="33"/>
  <c r="AJ83" i="33"/>
  <c r="AK83" i="33"/>
  <c r="AG84" i="33"/>
  <c r="AK84" i="33"/>
  <c r="V110" i="33" l="1"/>
  <c r="H85" i="33" l="1"/>
  <c r="U49" i="33" l="1"/>
  <c r="Q49" i="33" l="1"/>
  <c r="L14" i="33" l="1"/>
  <c r="M14" i="33"/>
  <c r="N14" i="33"/>
  <c r="O14" i="33" s="1"/>
  <c r="L15" i="33"/>
  <c r="M15" i="33"/>
  <c r="J16" i="33"/>
  <c r="K16" i="33" s="1"/>
  <c r="L16" i="33"/>
  <c r="M16" i="33"/>
  <c r="N16" i="33"/>
  <c r="O16" i="33" s="1"/>
  <c r="J17" i="33"/>
  <c r="K17" i="33" s="1"/>
  <c r="L17" i="33"/>
  <c r="M17" i="33"/>
  <c r="N17" i="33"/>
  <c r="O17" i="33" s="1"/>
  <c r="J18" i="33"/>
  <c r="K18" i="33" s="1"/>
  <c r="L18" i="33"/>
  <c r="M18" i="33"/>
  <c r="N18" i="33"/>
  <c r="O18" i="33" s="1"/>
  <c r="J19" i="33"/>
  <c r="K19" i="33" s="1"/>
  <c r="L19" i="33"/>
  <c r="M19" i="33"/>
  <c r="N19" i="33"/>
  <c r="O19" i="33" s="1"/>
  <c r="J20" i="33"/>
  <c r="K20" i="33" s="1"/>
  <c r="L20" i="33"/>
  <c r="M20" i="33"/>
  <c r="N20" i="33"/>
  <c r="O20" i="33" s="1"/>
  <c r="J21" i="33"/>
  <c r="K21" i="33" s="1"/>
  <c r="L21" i="33"/>
  <c r="M21" i="33"/>
  <c r="N21" i="33"/>
  <c r="O21" i="33" s="1"/>
  <c r="J22" i="33"/>
  <c r="K22" i="33" s="1"/>
  <c r="L22" i="33"/>
  <c r="M22" i="33"/>
  <c r="N22" i="33"/>
  <c r="O22" i="33" s="1"/>
  <c r="J23" i="33"/>
  <c r="K23" i="33" s="1"/>
  <c r="L23" i="33"/>
  <c r="M23" i="33"/>
  <c r="N23" i="33"/>
  <c r="O23" i="33" s="1"/>
  <c r="J24" i="33"/>
  <c r="K24" i="33" s="1"/>
  <c r="L24" i="33"/>
  <c r="M24" i="33"/>
  <c r="N24" i="33"/>
  <c r="O24" i="33" s="1"/>
  <c r="J25" i="33"/>
  <c r="K25" i="33" s="1"/>
  <c r="L25" i="33"/>
  <c r="M25" i="33"/>
  <c r="N25" i="33"/>
  <c r="O25" i="33" s="1"/>
  <c r="J26" i="33"/>
  <c r="K26" i="33" s="1"/>
  <c r="L26" i="33"/>
  <c r="M26" i="33"/>
  <c r="N26" i="33"/>
  <c r="O26" i="33" s="1"/>
  <c r="J27" i="33"/>
  <c r="K27" i="33" s="1"/>
  <c r="L27" i="33"/>
  <c r="M27" i="33"/>
  <c r="N27" i="33"/>
  <c r="O27" i="33" s="1"/>
  <c r="J28" i="33"/>
  <c r="K28" i="33" s="1"/>
  <c r="L28" i="33"/>
  <c r="M28" i="33"/>
  <c r="N28" i="33"/>
  <c r="O28" i="33" s="1"/>
  <c r="J29" i="33"/>
  <c r="K29" i="33" s="1"/>
  <c r="L29" i="33"/>
  <c r="M29" i="33"/>
  <c r="N29" i="33"/>
  <c r="O29" i="33" s="1"/>
  <c r="J30" i="33"/>
  <c r="K30" i="33" s="1"/>
  <c r="L30" i="33"/>
  <c r="M30" i="33"/>
  <c r="N30" i="33"/>
  <c r="O30" i="33" s="1"/>
  <c r="J31" i="33"/>
  <c r="K31" i="33" s="1"/>
  <c r="L31" i="33"/>
  <c r="M31" i="33"/>
  <c r="N31" i="33"/>
  <c r="O31" i="33" s="1"/>
  <c r="J32" i="33"/>
  <c r="K32" i="33" s="1"/>
  <c r="L32" i="33"/>
  <c r="M32" i="33"/>
  <c r="N32" i="33"/>
  <c r="O32" i="33" s="1"/>
  <c r="J33" i="33"/>
  <c r="K33" i="33" s="1"/>
  <c r="L33" i="33"/>
  <c r="M33" i="33"/>
  <c r="N33" i="33"/>
  <c r="O33" i="33" s="1"/>
  <c r="J34" i="33"/>
  <c r="K34" i="33" s="1"/>
  <c r="L34" i="33"/>
  <c r="M34" i="33"/>
  <c r="N34" i="33"/>
  <c r="O34" i="33" s="1"/>
  <c r="L35" i="33"/>
  <c r="M35" i="33"/>
  <c r="N35" i="33"/>
  <c r="O35" i="33" s="1"/>
  <c r="J36" i="33"/>
  <c r="K36" i="33" s="1"/>
  <c r="L36" i="33"/>
  <c r="M36" i="33"/>
  <c r="N36" i="33"/>
  <c r="O36" i="33" s="1"/>
  <c r="J37" i="33"/>
  <c r="K37" i="33" s="1"/>
  <c r="L37" i="33"/>
  <c r="M37" i="33"/>
  <c r="N37" i="33"/>
  <c r="O37" i="33" s="1"/>
  <c r="J38" i="33"/>
  <c r="K38" i="33" s="1"/>
  <c r="L38" i="33"/>
  <c r="M38" i="33"/>
  <c r="N38" i="33"/>
  <c r="O38" i="33" s="1"/>
  <c r="J39" i="33"/>
  <c r="K39" i="33" s="1"/>
  <c r="L39" i="33"/>
  <c r="M39" i="33"/>
  <c r="N39" i="33"/>
  <c r="O39" i="33" s="1"/>
  <c r="J40" i="33"/>
  <c r="K40" i="33" s="1"/>
  <c r="L40" i="33"/>
  <c r="M40" i="33"/>
  <c r="N40" i="33"/>
  <c r="O40" i="33" s="1"/>
  <c r="J41" i="33"/>
  <c r="K41" i="33" s="1"/>
  <c r="L41" i="33"/>
  <c r="M41" i="33"/>
  <c r="N41" i="33"/>
  <c r="O41" i="33" s="1"/>
  <c r="J42" i="33"/>
  <c r="K42" i="33" s="1"/>
  <c r="L42" i="33"/>
  <c r="M42" i="33"/>
  <c r="N42" i="33"/>
  <c r="O42" i="33" s="1"/>
  <c r="J43" i="33"/>
  <c r="K43" i="33" s="1"/>
  <c r="L43" i="33"/>
  <c r="M43" i="33"/>
  <c r="N43" i="33"/>
  <c r="O43" i="33" s="1"/>
  <c r="J44" i="33"/>
  <c r="K44" i="33" s="1"/>
  <c r="L44" i="33"/>
  <c r="M44" i="33"/>
  <c r="N44" i="33"/>
  <c r="O44" i="33" s="1"/>
  <c r="J45" i="33"/>
  <c r="K45" i="33" s="1"/>
  <c r="L45" i="33"/>
  <c r="M45" i="33"/>
  <c r="N45" i="33"/>
  <c r="O45" i="33" s="1"/>
  <c r="J46" i="33"/>
  <c r="K46" i="33" s="1"/>
  <c r="L46" i="33"/>
  <c r="M46" i="33"/>
  <c r="N46" i="33"/>
  <c r="O46" i="33" s="1"/>
  <c r="J47" i="33"/>
  <c r="K47" i="33" s="1"/>
  <c r="L47" i="33"/>
  <c r="M47" i="33"/>
  <c r="N47" i="33"/>
  <c r="O47" i="33" s="1"/>
  <c r="J48" i="33"/>
  <c r="K48" i="33" s="1"/>
  <c r="L48" i="33"/>
  <c r="M48" i="33"/>
  <c r="N48" i="33"/>
  <c r="O48" i="33" s="1"/>
  <c r="J49" i="33"/>
  <c r="K49" i="33" s="1"/>
  <c r="L49" i="33"/>
  <c r="M49" i="33"/>
  <c r="N49" i="33"/>
  <c r="O49" i="33" s="1"/>
  <c r="J50" i="33"/>
  <c r="K50" i="33" s="1"/>
  <c r="L50" i="33"/>
  <c r="M50" i="33"/>
  <c r="N50" i="33"/>
  <c r="O50" i="33" s="1"/>
  <c r="J51" i="33"/>
  <c r="K51" i="33" s="1"/>
  <c r="L51" i="33"/>
  <c r="M51" i="33"/>
  <c r="N51" i="33"/>
  <c r="O51" i="33" s="1"/>
  <c r="J52" i="33"/>
  <c r="K52" i="33" s="1"/>
  <c r="L52" i="33"/>
  <c r="M52" i="33"/>
  <c r="N52" i="33"/>
  <c r="O52" i="33" s="1"/>
  <c r="J53" i="33"/>
  <c r="K53" i="33" s="1"/>
  <c r="L53" i="33"/>
  <c r="M53" i="33"/>
  <c r="N53" i="33"/>
  <c r="O53" i="33" s="1"/>
  <c r="J54" i="33"/>
  <c r="K54" i="33" s="1"/>
  <c r="L54" i="33"/>
  <c r="M54" i="33"/>
  <c r="N54" i="33"/>
  <c r="O54" i="33" s="1"/>
  <c r="J55" i="33"/>
  <c r="K55" i="33" s="1"/>
  <c r="L55" i="33"/>
  <c r="M55" i="33"/>
  <c r="N55" i="33"/>
  <c r="O55" i="33" s="1"/>
  <c r="J56" i="33"/>
  <c r="K56" i="33" s="1"/>
  <c r="L56" i="33"/>
  <c r="M56" i="33"/>
  <c r="N56" i="33"/>
  <c r="O56" i="33" s="1"/>
  <c r="J57" i="33"/>
  <c r="K57" i="33" s="1"/>
  <c r="L57" i="33"/>
  <c r="M57" i="33"/>
  <c r="N57" i="33"/>
  <c r="O57" i="33" s="1"/>
  <c r="J58" i="33"/>
  <c r="K58" i="33" s="1"/>
  <c r="L58" i="33"/>
  <c r="M58" i="33"/>
  <c r="N58" i="33"/>
  <c r="O58" i="33" s="1"/>
  <c r="J59" i="33"/>
  <c r="K59" i="33" s="1"/>
  <c r="L59" i="33"/>
  <c r="M59" i="33"/>
  <c r="N59" i="33"/>
  <c r="O59" i="33" s="1"/>
  <c r="J60" i="33"/>
  <c r="K60" i="33" s="1"/>
  <c r="L60" i="33"/>
  <c r="M60" i="33"/>
  <c r="N60" i="33"/>
  <c r="O60" i="33" s="1"/>
  <c r="J61" i="33"/>
  <c r="K61" i="33" s="1"/>
  <c r="L61" i="33"/>
  <c r="M61" i="33"/>
  <c r="N61" i="33"/>
  <c r="O61" i="33" s="1"/>
  <c r="J62" i="33"/>
  <c r="K62" i="33" s="1"/>
  <c r="L62" i="33"/>
  <c r="M62" i="33"/>
  <c r="N62" i="33"/>
  <c r="O62" i="33" s="1"/>
  <c r="J63" i="33"/>
  <c r="K63" i="33" s="1"/>
  <c r="L63" i="33"/>
  <c r="M63" i="33"/>
  <c r="N63" i="33"/>
  <c r="O63" i="33" s="1"/>
  <c r="J64" i="33"/>
  <c r="K64" i="33" s="1"/>
  <c r="L64" i="33"/>
  <c r="M64" i="33"/>
  <c r="N64" i="33"/>
  <c r="O64" i="33" s="1"/>
  <c r="J65" i="33"/>
  <c r="K65" i="33" s="1"/>
  <c r="L65" i="33"/>
  <c r="M65" i="33"/>
  <c r="N65" i="33"/>
  <c r="O65" i="33" s="1"/>
  <c r="J66" i="33"/>
  <c r="K66" i="33" s="1"/>
  <c r="L66" i="33"/>
  <c r="M66" i="33"/>
  <c r="N66" i="33"/>
  <c r="O66" i="33" s="1"/>
  <c r="J67" i="33"/>
  <c r="K67" i="33" s="1"/>
  <c r="L67" i="33"/>
  <c r="M67" i="33"/>
  <c r="N67" i="33"/>
  <c r="O67" i="33" s="1"/>
  <c r="J68" i="33"/>
  <c r="K68" i="33" s="1"/>
  <c r="L68" i="33"/>
  <c r="M68" i="33"/>
  <c r="N68" i="33"/>
  <c r="O68" i="33" s="1"/>
  <c r="J69" i="33"/>
  <c r="K69" i="33" s="1"/>
  <c r="L69" i="33"/>
  <c r="M69" i="33"/>
  <c r="N69" i="33"/>
  <c r="O69" i="33" s="1"/>
  <c r="J70" i="33"/>
  <c r="K70" i="33" s="1"/>
  <c r="L70" i="33"/>
  <c r="M70" i="33"/>
  <c r="N70" i="33"/>
  <c r="O70" i="33" s="1"/>
  <c r="J71" i="33"/>
  <c r="K71" i="33" s="1"/>
  <c r="L71" i="33"/>
  <c r="M71" i="33"/>
  <c r="N71" i="33"/>
  <c r="O71" i="33" s="1"/>
  <c r="J72" i="33"/>
  <c r="K72" i="33" s="1"/>
  <c r="L72" i="33"/>
  <c r="M72" i="33"/>
  <c r="N72" i="33"/>
  <c r="O72" i="33" s="1"/>
  <c r="J73" i="33"/>
  <c r="K73" i="33" s="1"/>
  <c r="L73" i="33"/>
  <c r="M73" i="33"/>
  <c r="N73" i="33"/>
  <c r="O73" i="33" s="1"/>
  <c r="J74" i="33"/>
  <c r="K74" i="33" s="1"/>
  <c r="L74" i="33"/>
  <c r="M74" i="33"/>
  <c r="N74" i="33"/>
  <c r="O74" i="33" s="1"/>
  <c r="J75" i="33"/>
  <c r="K75" i="33" s="1"/>
  <c r="L75" i="33"/>
  <c r="M75" i="33"/>
  <c r="N75" i="33"/>
  <c r="O75" i="33" s="1"/>
  <c r="J76" i="33"/>
  <c r="K76" i="33" s="1"/>
  <c r="L76" i="33"/>
  <c r="M76" i="33"/>
  <c r="N76" i="33"/>
  <c r="O76" i="33" s="1"/>
  <c r="J77" i="33"/>
  <c r="K77" i="33" s="1"/>
  <c r="L77" i="33"/>
  <c r="M77" i="33"/>
  <c r="N77" i="33"/>
  <c r="O77" i="33" s="1"/>
  <c r="J78" i="33"/>
  <c r="K78" i="33" s="1"/>
  <c r="L78" i="33"/>
  <c r="M78" i="33"/>
  <c r="N78" i="33"/>
  <c r="O78" i="33" s="1"/>
  <c r="J79" i="33"/>
  <c r="K79" i="33" s="1"/>
  <c r="L79" i="33"/>
  <c r="M79" i="33"/>
  <c r="N79" i="33"/>
  <c r="O79" i="33" s="1"/>
  <c r="J80" i="33"/>
  <c r="K80" i="33" s="1"/>
  <c r="L80" i="33"/>
  <c r="M80" i="33"/>
  <c r="N80" i="33"/>
  <c r="O80" i="33" s="1"/>
  <c r="J81" i="33"/>
  <c r="K81" i="33" s="1"/>
  <c r="L81" i="33"/>
  <c r="M81" i="33"/>
  <c r="N81" i="33"/>
  <c r="O81" i="33" s="1"/>
  <c r="J82" i="33"/>
  <c r="K82" i="33" s="1"/>
  <c r="L82" i="33"/>
  <c r="M82" i="33"/>
  <c r="N82" i="33"/>
  <c r="O82" i="33" s="1"/>
  <c r="J83" i="33"/>
  <c r="K83" i="33" s="1"/>
  <c r="L83" i="33"/>
  <c r="M83" i="33"/>
  <c r="N83" i="33"/>
  <c r="O83" i="33" s="1"/>
  <c r="J84" i="33"/>
  <c r="K84" i="33" s="1"/>
  <c r="L84" i="33"/>
  <c r="M84" i="33"/>
  <c r="N84" i="33"/>
  <c r="O84" i="33" s="1"/>
  <c r="L13" i="33"/>
  <c r="M13" i="33"/>
  <c r="N13" i="33"/>
  <c r="O13" i="33" s="1"/>
  <c r="N12" i="33"/>
  <c r="O12" i="33" s="1"/>
  <c r="L12" i="33"/>
  <c r="J12" i="33"/>
  <c r="K12" i="33" s="1"/>
  <c r="Q12" i="33" l="1"/>
  <c r="P12" i="33" s="1"/>
  <c r="N15" i="33"/>
  <c r="O15" i="33" s="1"/>
  <c r="O85" i="33" s="1"/>
  <c r="J15" i="33"/>
  <c r="K15" i="33" s="1"/>
  <c r="J14" i="33" l="1"/>
  <c r="K14" i="33" s="1"/>
  <c r="Q14" i="33" l="1"/>
  <c r="W13" i="33"/>
  <c r="V13" i="33" s="1"/>
  <c r="U13" i="33"/>
  <c r="T13" i="33" s="1"/>
  <c r="S13" i="33"/>
  <c r="R13" i="33" s="1"/>
  <c r="J13" i="33"/>
  <c r="K13" i="33" s="1"/>
  <c r="W84" i="33"/>
  <c r="V84" i="33" s="1"/>
  <c r="U84" i="33"/>
  <c r="T84" i="33" s="1"/>
  <c r="S84" i="33"/>
  <c r="R84" i="33" s="1"/>
  <c r="Q84" i="33"/>
  <c r="P84" i="33" s="1"/>
  <c r="W83" i="33"/>
  <c r="V83" i="33" s="1"/>
  <c r="U83" i="33"/>
  <c r="T83" i="33" s="1"/>
  <c r="S83" i="33"/>
  <c r="R83" i="33" s="1"/>
  <c r="Q83" i="33"/>
  <c r="P83" i="33" s="1"/>
  <c r="W82" i="33"/>
  <c r="V82" i="33" s="1"/>
  <c r="U82" i="33"/>
  <c r="T82" i="33" s="1"/>
  <c r="S82" i="33"/>
  <c r="R82" i="33" s="1"/>
  <c r="Q82" i="33"/>
  <c r="P82" i="33" s="1"/>
  <c r="W81" i="33"/>
  <c r="U81" i="33"/>
  <c r="T81" i="33" s="1"/>
  <c r="S81" i="33"/>
  <c r="R81" i="33" s="1"/>
  <c r="Q81" i="33"/>
  <c r="P81" i="33" s="1"/>
  <c r="W80" i="33"/>
  <c r="V80" i="33" s="1"/>
  <c r="U80" i="33"/>
  <c r="T80" i="33" s="1"/>
  <c r="S80" i="33"/>
  <c r="R80" i="33" s="1"/>
  <c r="Q80" i="33"/>
  <c r="P80" i="33" s="1"/>
  <c r="W79" i="33"/>
  <c r="V79" i="33" s="1"/>
  <c r="U79" i="33"/>
  <c r="T79" i="33" s="1"/>
  <c r="S79" i="33"/>
  <c r="R79" i="33" s="1"/>
  <c r="Q79" i="33"/>
  <c r="P79" i="33" s="1"/>
  <c r="W78" i="33"/>
  <c r="V78" i="33" s="1"/>
  <c r="U78" i="33"/>
  <c r="T78" i="33" s="1"/>
  <c r="S78" i="33"/>
  <c r="R78" i="33" s="1"/>
  <c r="Q78" i="33"/>
  <c r="P78" i="33" s="1"/>
  <c r="W77" i="33"/>
  <c r="V77" i="33" s="1"/>
  <c r="U77" i="33"/>
  <c r="T77" i="33" s="1"/>
  <c r="S77" i="33"/>
  <c r="R77" i="33" s="1"/>
  <c r="Q77" i="33"/>
  <c r="P77" i="33" s="1"/>
  <c r="W76" i="33"/>
  <c r="U76" i="33"/>
  <c r="T76" i="33" s="1"/>
  <c r="S76" i="33"/>
  <c r="R76" i="33" s="1"/>
  <c r="Q76" i="33"/>
  <c r="P76" i="33" s="1"/>
  <c r="W75" i="33"/>
  <c r="V75" i="33" s="1"/>
  <c r="U75" i="33"/>
  <c r="T75" i="33" s="1"/>
  <c r="S75" i="33"/>
  <c r="R75" i="33" s="1"/>
  <c r="Q75" i="33"/>
  <c r="P75" i="33" s="1"/>
  <c r="W74" i="33"/>
  <c r="U74" i="33"/>
  <c r="T74" i="33" s="1"/>
  <c r="S74" i="33"/>
  <c r="R74" i="33" s="1"/>
  <c r="Q74" i="33"/>
  <c r="P74" i="33" s="1"/>
  <c r="W73" i="33"/>
  <c r="V73" i="33" s="1"/>
  <c r="U73" i="33"/>
  <c r="T73" i="33" s="1"/>
  <c r="S73" i="33"/>
  <c r="R73" i="33" s="1"/>
  <c r="Q73" i="33"/>
  <c r="P73" i="33" s="1"/>
  <c r="W72" i="33"/>
  <c r="V72" i="33" s="1"/>
  <c r="U72" i="33"/>
  <c r="T72" i="33" s="1"/>
  <c r="S72" i="33"/>
  <c r="R72" i="33" s="1"/>
  <c r="Q72" i="33"/>
  <c r="P72" i="33" s="1"/>
  <c r="W71" i="33"/>
  <c r="V71" i="33" s="1"/>
  <c r="U71" i="33"/>
  <c r="T71" i="33" s="1"/>
  <c r="S71" i="33"/>
  <c r="R71" i="33" s="1"/>
  <c r="Q71" i="33"/>
  <c r="P71" i="33" s="1"/>
  <c r="W70" i="33"/>
  <c r="V70" i="33" s="1"/>
  <c r="U70" i="33"/>
  <c r="T70" i="33" s="1"/>
  <c r="S70" i="33"/>
  <c r="R70" i="33" s="1"/>
  <c r="Q70" i="33"/>
  <c r="P70" i="33" s="1"/>
  <c r="W69" i="33"/>
  <c r="V69" i="33" s="1"/>
  <c r="U69" i="33"/>
  <c r="T69" i="33" s="1"/>
  <c r="S69" i="33"/>
  <c r="R69" i="33" s="1"/>
  <c r="Q69" i="33"/>
  <c r="P69" i="33" s="1"/>
  <c r="W68" i="33"/>
  <c r="V68" i="33" s="1"/>
  <c r="U68" i="33"/>
  <c r="T68" i="33" s="1"/>
  <c r="S68" i="33"/>
  <c r="R68" i="33" s="1"/>
  <c r="Q68" i="33"/>
  <c r="P68" i="33" s="1"/>
  <c r="W67" i="33"/>
  <c r="U67" i="33"/>
  <c r="T67" i="33" s="1"/>
  <c r="S67" i="33"/>
  <c r="R67" i="33" s="1"/>
  <c r="Q67" i="33"/>
  <c r="P67" i="33" s="1"/>
  <c r="W66" i="33"/>
  <c r="V66" i="33" s="1"/>
  <c r="U66" i="33"/>
  <c r="T66" i="33" s="1"/>
  <c r="S66" i="33"/>
  <c r="R66" i="33" s="1"/>
  <c r="Q66" i="33"/>
  <c r="P66" i="33" s="1"/>
  <c r="W65" i="33"/>
  <c r="V65" i="33" s="1"/>
  <c r="U65" i="33"/>
  <c r="T65" i="33" s="1"/>
  <c r="S65" i="33"/>
  <c r="R65" i="33" s="1"/>
  <c r="Q65" i="33"/>
  <c r="P65" i="33" s="1"/>
  <c r="W64" i="33"/>
  <c r="V64" i="33" s="1"/>
  <c r="U64" i="33"/>
  <c r="T64" i="33" s="1"/>
  <c r="S64" i="33"/>
  <c r="R64" i="33" s="1"/>
  <c r="Q64" i="33"/>
  <c r="P64" i="33" s="1"/>
  <c r="W63" i="33"/>
  <c r="U63" i="33"/>
  <c r="T63" i="33" s="1"/>
  <c r="S63" i="33"/>
  <c r="R63" i="33" s="1"/>
  <c r="Q63" i="33"/>
  <c r="P63" i="33" s="1"/>
  <c r="W62" i="33"/>
  <c r="V62" i="33" s="1"/>
  <c r="U62" i="33"/>
  <c r="T62" i="33" s="1"/>
  <c r="S62" i="33"/>
  <c r="R62" i="33" s="1"/>
  <c r="Q62" i="33"/>
  <c r="P62" i="33" s="1"/>
  <c r="W61" i="33"/>
  <c r="V61" i="33" s="1"/>
  <c r="U61" i="33"/>
  <c r="T61" i="33" s="1"/>
  <c r="S61" i="33"/>
  <c r="R61" i="33" s="1"/>
  <c r="Q61" i="33"/>
  <c r="P61" i="33" s="1"/>
  <c r="W60" i="33"/>
  <c r="V60" i="33" s="1"/>
  <c r="U60" i="33"/>
  <c r="T60" i="33" s="1"/>
  <c r="S60" i="33"/>
  <c r="R60" i="33" s="1"/>
  <c r="Q60" i="33"/>
  <c r="P60" i="33" s="1"/>
  <c r="W59" i="33"/>
  <c r="V59" i="33" s="1"/>
  <c r="U59" i="33"/>
  <c r="T59" i="33" s="1"/>
  <c r="S59" i="33"/>
  <c r="R59" i="33" s="1"/>
  <c r="Q59" i="33"/>
  <c r="P59" i="33" s="1"/>
  <c r="W58" i="33"/>
  <c r="V58" i="33" s="1"/>
  <c r="U58" i="33"/>
  <c r="T58" i="33" s="1"/>
  <c r="S58" i="33"/>
  <c r="R58" i="33" s="1"/>
  <c r="Q58" i="33"/>
  <c r="P58" i="33" s="1"/>
  <c r="W57" i="33"/>
  <c r="V57" i="33" s="1"/>
  <c r="U57" i="33"/>
  <c r="T57" i="33" s="1"/>
  <c r="S57" i="33"/>
  <c r="R57" i="33" s="1"/>
  <c r="Q57" i="33"/>
  <c r="P57" i="33" s="1"/>
  <c r="W56" i="33"/>
  <c r="V56" i="33" s="1"/>
  <c r="U56" i="33"/>
  <c r="T56" i="33" s="1"/>
  <c r="S56" i="33"/>
  <c r="R56" i="33" s="1"/>
  <c r="Q56" i="33"/>
  <c r="P56" i="33" s="1"/>
  <c r="W55" i="33"/>
  <c r="V55" i="33" s="1"/>
  <c r="U55" i="33"/>
  <c r="T55" i="33" s="1"/>
  <c r="S55" i="33"/>
  <c r="R55" i="33" s="1"/>
  <c r="Q55" i="33"/>
  <c r="P55" i="33" s="1"/>
  <c r="W54" i="33"/>
  <c r="V54" i="33" s="1"/>
  <c r="U54" i="33"/>
  <c r="T54" i="33" s="1"/>
  <c r="S54" i="33"/>
  <c r="R54" i="33" s="1"/>
  <c r="Q54" i="33"/>
  <c r="P54" i="33" s="1"/>
  <c r="W53" i="33"/>
  <c r="V53" i="33" s="1"/>
  <c r="U53" i="33"/>
  <c r="T53" i="33" s="1"/>
  <c r="S53" i="33"/>
  <c r="R53" i="33" s="1"/>
  <c r="Q53" i="33"/>
  <c r="P53" i="33" s="1"/>
  <c r="W52" i="33"/>
  <c r="V52" i="33" s="1"/>
  <c r="U52" i="33"/>
  <c r="T52" i="33" s="1"/>
  <c r="S52" i="33"/>
  <c r="R52" i="33" s="1"/>
  <c r="Q52" i="33"/>
  <c r="P52" i="33" s="1"/>
  <c r="W51" i="33"/>
  <c r="V51" i="33" s="1"/>
  <c r="U51" i="33"/>
  <c r="T51" i="33" s="1"/>
  <c r="S51" i="33"/>
  <c r="R51" i="33" s="1"/>
  <c r="Q51" i="33"/>
  <c r="P51" i="33" s="1"/>
  <c r="W50" i="33"/>
  <c r="U50" i="33"/>
  <c r="T50" i="33" s="1"/>
  <c r="S50" i="33"/>
  <c r="R50" i="33" s="1"/>
  <c r="Q50" i="33"/>
  <c r="P50" i="33" s="1"/>
  <c r="W49" i="33"/>
  <c r="V49" i="33" s="1"/>
  <c r="T49" i="33"/>
  <c r="S49" i="33"/>
  <c r="R49" i="33" s="1"/>
  <c r="P49" i="33"/>
  <c r="W48" i="33"/>
  <c r="V48" i="33" s="1"/>
  <c r="U48" i="33"/>
  <c r="T48" i="33" s="1"/>
  <c r="S48" i="33"/>
  <c r="R48" i="33" s="1"/>
  <c r="Q48" i="33"/>
  <c r="P48" i="33" s="1"/>
  <c r="W47" i="33"/>
  <c r="V47" i="33" s="1"/>
  <c r="U47" i="33"/>
  <c r="T47" i="33" s="1"/>
  <c r="S47" i="33"/>
  <c r="R47" i="33" s="1"/>
  <c r="Q47" i="33"/>
  <c r="P47" i="33" s="1"/>
  <c r="W46" i="33"/>
  <c r="V46" i="33" s="1"/>
  <c r="U46" i="33"/>
  <c r="T46" i="33" s="1"/>
  <c r="S46" i="33"/>
  <c r="R46" i="33" s="1"/>
  <c r="Q46" i="33"/>
  <c r="P46" i="33" s="1"/>
  <c r="W45" i="33"/>
  <c r="V45" i="33" s="1"/>
  <c r="U45" i="33"/>
  <c r="T45" i="33" s="1"/>
  <c r="S45" i="33"/>
  <c r="R45" i="33" s="1"/>
  <c r="Q45" i="33"/>
  <c r="P45" i="33" s="1"/>
  <c r="W44" i="33"/>
  <c r="V44" i="33" s="1"/>
  <c r="U44" i="33"/>
  <c r="T44" i="33" s="1"/>
  <c r="S44" i="33"/>
  <c r="R44" i="33" s="1"/>
  <c r="Q44" i="33"/>
  <c r="P44" i="33" s="1"/>
  <c r="W43" i="33"/>
  <c r="V43" i="33" s="1"/>
  <c r="U43" i="33"/>
  <c r="T43" i="33" s="1"/>
  <c r="S43" i="33"/>
  <c r="R43" i="33" s="1"/>
  <c r="Q43" i="33"/>
  <c r="P43" i="33" s="1"/>
  <c r="W42" i="33"/>
  <c r="V42" i="33" s="1"/>
  <c r="U42" i="33"/>
  <c r="T42" i="33" s="1"/>
  <c r="S42" i="33"/>
  <c r="R42" i="33" s="1"/>
  <c r="Q42" i="33"/>
  <c r="P42" i="33" s="1"/>
  <c r="W41" i="33"/>
  <c r="V41" i="33" s="1"/>
  <c r="U41" i="33"/>
  <c r="T41" i="33" s="1"/>
  <c r="S41" i="33"/>
  <c r="R41" i="33" s="1"/>
  <c r="Q41" i="33"/>
  <c r="P41" i="33" s="1"/>
  <c r="W40" i="33"/>
  <c r="V40" i="33" s="1"/>
  <c r="U40" i="33"/>
  <c r="T40" i="33" s="1"/>
  <c r="S40" i="33"/>
  <c r="R40" i="33" s="1"/>
  <c r="Q40" i="33"/>
  <c r="P40" i="33" s="1"/>
  <c r="W39" i="33"/>
  <c r="V39" i="33" s="1"/>
  <c r="U39" i="33"/>
  <c r="T39" i="33" s="1"/>
  <c r="S39" i="33"/>
  <c r="R39" i="33" s="1"/>
  <c r="Q39" i="33"/>
  <c r="P39" i="33" s="1"/>
  <c r="W38" i="33"/>
  <c r="V38" i="33" s="1"/>
  <c r="U38" i="33"/>
  <c r="T38" i="33" s="1"/>
  <c r="S38" i="33"/>
  <c r="R38" i="33" s="1"/>
  <c r="Q38" i="33"/>
  <c r="P38" i="33" s="1"/>
  <c r="W37" i="33"/>
  <c r="V37" i="33" s="1"/>
  <c r="U37" i="33"/>
  <c r="T37" i="33" s="1"/>
  <c r="S37" i="33"/>
  <c r="R37" i="33" s="1"/>
  <c r="Q37" i="33"/>
  <c r="P37" i="33" s="1"/>
  <c r="W36" i="33"/>
  <c r="V36" i="33" s="1"/>
  <c r="U36" i="33"/>
  <c r="T36" i="33" s="1"/>
  <c r="S36" i="33"/>
  <c r="R36" i="33" s="1"/>
  <c r="Q36" i="33"/>
  <c r="P36" i="33" s="1"/>
  <c r="W35" i="33"/>
  <c r="V35" i="33" s="1"/>
  <c r="W34" i="33"/>
  <c r="V34" i="33" s="1"/>
  <c r="U34" i="33"/>
  <c r="T34" i="33" s="1"/>
  <c r="S34" i="33"/>
  <c r="R34" i="33" s="1"/>
  <c r="Q34" i="33"/>
  <c r="P34" i="33" s="1"/>
  <c r="W33" i="33"/>
  <c r="V33" i="33" s="1"/>
  <c r="U33" i="33"/>
  <c r="T33" i="33" s="1"/>
  <c r="S33" i="33"/>
  <c r="R33" i="33" s="1"/>
  <c r="Q33" i="33"/>
  <c r="P33" i="33" s="1"/>
  <c r="W32" i="33"/>
  <c r="V32" i="33" s="1"/>
  <c r="U32" i="33"/>
  <c r="T32" i="33" s="1"/>
  <c r="S32" i="33"/>
  <c r="R32" i="33" s="1"/>
  <c r="Q32" i="33"/>
  <c r="P32" i="33" s="1"/>
  <c r="W31" i="33"/>
  <c r="V31" i="33" s="1"/>
  <c r="U31" i="33"/>
  <c r="T31" i="33" s="1"/>
  <c r="S31" i="33"/>
  <c r="R31" i="33" s="1"/>
  <c r="Q31" i="33"/>
  <c r="P31" i="33" s="1"/>
  <c r="W30" i="33"/>
  <c r="V30" i="33" s="1"/>
  <c r="U30" i="33"/>
  <c r="T30" i="33" s="1"/>
  <c r="S30" i="33"/>
  <c r="R30" i="33" s="1"/>
  <c r="Q30" i="33"/>
  <c r="P30" i="33" s="1"/>
  <c r="W29" i="33"/>
  <c r="V29" i="33" s="1"/>
  <c r="U29" i="33"/>
  <c r="T29" i="33" s="1"/>
  <c r="S29" i="33"/>
  <c r="R29" i="33" s="1"/>
  <c r="Q29" i="33"/>
  <c r="P29" i="33" s="1"/>
  <c r="W28" i="33"/>
  <c r="V28" i="33" s="1"/>
  <c r="U28" i="33"/>
  <c r="T28" i="33" s="1"/>
  <c r="S28" i="33"/>
  <c r="R28" i="33" s="1"/>
  <c r="Q28" i="33"/>
  <c r="P28" i="33" s="1"/>
  <c r="W27" i="33"/>
  <c r="V27" i="33" s="1"/>
  <c r="U27" i="33"/>
  <c r="T27" i="33" s="1"/>
  <c r="S27" i="33"/>
  <c r="R27" i="33" s="1"/>
  <c r="Q27" i="33"/>
  <c r="P27" i="33" s="1"/>
  <c r="W26" i="33"/>
  <c r="U26" i="33"/>
  <c r="T26" i="33" s="1"/>
  <c r="S26" i="33"/>
  <c r="R26" i="33" s="1"/>
  <c r="Q26" i="33"/>
  <c r="P26" i="33" s="1"/>
  <c r="W25" i="33"/>
  <c r="V25" i="33" s="1"/>
  <c r="U25" i="33"/>
  <c r="T25" i="33" s="1"/>
  <c r="S25" i="33"/>
  <c r="R25" i="33" s="1"/>
  <c r="Q25" i="33"/>
  <c r="P25" i="33" s="1"/>
  <c r="W24" i="33"/>
  <c r="V24" i="33" s="1"/>
  <c r="U24" i="33"/>
  <c r="T24" i="33" s="1"/>
  <c r="S24" i="33"/>
  <c r="R24" i="33" s="1"/>
  <c r="Q24" i="33"/>
  <c r="P24" i="33" s="1"/>
  <c r="W23" i="33"/>
  <c r="V23" i="33" s="1"/>
  <c r="U23" i="33"/>
  <c r="T23" i="33" s="1"/>
  <c r="S23" i="33"/>
  <c r="R23" i="33" s="1"/>
  <c r="Q23" i="33"/>
  <c r="P23" i="33" s="1"/>
  <c r="W22" i="33"/>
  <c r="V22" i="33" s="1"/>
  <c r="U22" i="33"/>
  <c r="T22" i="33" s="1"/>
  <c r="S22" i="33"/>
  <c r="R22" i="33" s="1"/>
  <c r="Q22" i="33"/>
  <c r="P22" i="33" s="1"/>
  <c r="W21" i="33"/>
  <c r="V21" i="33" s="1"/>
  <c r="U21" i="33"/>
  <c r="T21" i="33" s="1"/>
  <c r="S21" i="33"/>
  <c r="R21" i="33" s="1"/>
  <c r="Q21" i="33"/>
  <c r="P21" i="33" s="1"/>
  <c r="W20" i="33"/>
  <c r="V20" i="33" s="1"/>
  <c r="U20" i="33"/>
  <c r="T20" i="33" s="1"/>
  <c r="S20" i="33"/>
  <c r="R20" i="33" s="1"/>
  <c r="Q20" i="33"/>
  <c r="P20" i="33" s="1"/>
  <c r="W19" i="33"/>
  <c r="V19" i="33" s="1"/>
  <c r="U19" i="33"/>
  <c r="T19" i="33" s="1"/>
  <c r="S19" i="33"/>
  <c r="R19" i="33" s="1"/>
  <c r="Q19" i="33"/>
  <c r="P19" i="33" s="1"/>
  <c r="W18" i="33"/>
  <c r="V18" i="33" s="1"/>
  <c r="U18" i="33"/>
  <c r="T18" i="33" s="1"/>
  <c r="S18" i="33"/>
  <c r="R18" i="33" s="1"/>
  <c r="Q18" i="33"/>
  <c r="P18" i="33" s="1"/>
  <c r="W17" i="33"/>
  <c r="V17" i="33" s="1"/>
  <c r="U17" i="33"/>
  <c r="T17" i="33" s="1"/>
  <c r="S17" i="33"/>
  <c r="R17" i="33" s="1"/>
  <c r="Q17" i="33"/>
  <c r="P17" i="33" s="1"/>
  <c r="W16" i="33"/>
  <c r="V16" i="33" s="1"/>
  <c r="U16" i="33"/>
  <c r="T16" i="33" s="1"/>
  <c r="S16" i="33"/>
  <c r="R16" i="33" s="1"/>
  <c r="Q16" i="33"/>
  <c r="P16" i="33" s="1"/>
  <c r="W15" i="33"/>
  <c r="V15" i="33" s="1"/>
  <c r="U15" i="33"/>
  <c r="T15" i="33" s="1"/>
  <c r="S15" i="33"/>
  <c r="R15" i="33" s="1"/>
  <c r="Q15" i="33"/>
  <c r="P15" i="33" s="1"/>
  <c r="W14" i="33"/>
  <c r="V14" i="33" s="1"/>
  <c r="U14" i="33"/>
  <c r="T14" i="33" s="1"/>
  <c r="S14" i="33"/>
  <c r="R14" i="33" s="1"/>
  <c r="P14" i="33"/>
  <c r="Z34" i="33" l="1"/>
  <c r="Z36" i="33"/>
  <c r="Z38" i="33"/>
  <c r="Z40" i="33"/>
  <c r="Z44" i="33"/>
  <c r="Q13" i="33"/>
  <c r="Z46" i="33"/>
  <c r="Z45" i="33"/>
  <c r="Z84" i="33"/>
  <c r="Z42" i="33"/>
  <c r="Z69" i="33"/>
  <c r="Z71" i="33"/>
  <c r="Z73" i="33"/>
  <c r="Z75" i="33"/>
  <c r="Z77" i="33"/>
  <c r="Z79" i="33"/>
  <c r="Z83" i="33"/>
  <c r="Z30" i="33"/>
  <c r="Z66" i="33"/>
  <c r="Z68" i="33"/>
  <c r="Z31" i="33"/>
  <c r="Z47" i="33"/>
  <c r="Z49" i="33"/>
  <c r="Z51" i="33"/>
  <c r="Z53" i="33"/>
  <c r="Z55" i="33"/>
  <c r="Z57" i="33"/>
  <c r="Z59" i="33"/>
  <c r="Z61" i="33"/>
  <c r="Z65" i="33"/>
  <c r="Z48" i="33"/>
  <c r="Z52" i="33"/>
  <c r="Z54" i="33"/>
  <c r="Z56" i="33"/>
  <c r="Z58" i="33"/>
  <c r="Z60" i="33"/>
  <c r="Z62" i="33"/>
  <c r="Z64" i="33"/>
  <c r="P13" i="33"/>
  <c r="Z13" i="33" s="1"/>
  <c r="Z70" i="33"/>
  <c r="Z72" i="33"/>
  <c r="Z78" i="33"/>
  <c r="Z80" i="33"/>
  <c r="Z82" i="33"/>
  <c r="Z37" i="33"/>
  <c r="Z39" i="33"/>
  <c r="Z41" i="33"/>
  <c r="Z43" i="33"/>
  <c r="V26" i="33"/>
  <c r="Z26" i="33" s="1"/>
  <c r="V50" i="33"/>
  <c r="Z50" i="33" s="1"/>
  <c r="V63" i="33"/>
  <c r="Z63" i="33" s="1"/>
  <c r="V81" i="33"/>
  <c r="Z81" i="33" s="1"/>
  <c r="V67" i="33"/>
  <c r="Z67" i="33" s="1"/>
  <c r="V74" i="33"/>
  <c r="Z74" i="33" s="1"/>
  <c r="V76" i="33"/>
  <c r="Z76" i="33" s="1"/>
  <c r="Z20" i="33"/>
  <c r="Z21" i="33"/>
  <c r="Z14" i="33"/>
  <c r="Z33" i="33"/>
  <c r="Z32" i="33"/>
  <c r="Z29" i="33"/>
  <c r="Z28" i="33"/>
  <c r="Z27" i="33"/>
  <c r="Z25" i="33"/>
  <c r="Z24" i="33"/>
  <c r="Z23" i="33"/>
  <c r="Z22" i="33"/>
  <c r="Z19" i="33"/>
  <c r="Z18" i="33"/>
  <c r="Z17" i="33"/>
  <c r="Z16" i="33"/>
  <c r="Z15" i="33"/>
  <c r="D2" i="34"/>
  <c r="AM51" i="36"/>
  <c r="AM50" i="36"/>
  <c r="AV44" i="34" l="1"/>
  <c r="BJ44" i="34" s="1"/>
  <c r="AV13" i="34"/>
  <c r="BJ13" i="34" s="1"/>
  <c r="AV25" i="34"/>
  <c r="BJ25" i="34" s="1"/>
  <c r="AV29" i="34"/>
  <c r="BJ29" i="34" s="1"/>
  <c r="B31" i="36"/>
  <c r="B32" i="36" s="1"/>
  <c r="R51" i="36"/>
  <c r="AV31" i="34" s="1"/>
  <c r="BJ31" i="34" s="1"/>
  <c r="R50" i="36"/>
  <c r="AV30" i="34" s="1"/>
  <c r="BJ30" i="34" s="1"/>
  <c r="AM49" i="36"/>
  <c r="R49" i="36"/>
  <c r="AM48" i="36"/>
  <c r="R48" i="36"/>
  <c r="AV28" i="34" s="1"/>
  <c r="BJ28" i="34" s="1"/>
  <c r="BH28" i="34" s="1"/>
  <c r="AM47" i="36"/>
  <c r="R47" i="36"/>
  <c r="AV27" i="34" s="1"/>
  <c r="BJ27" i="34" s="1"/>
  <c r="AM46" i="36"/>
  <c r="R46" i="36"/>
  <c r="AV26" i="34" s="1"/>
  <c r="BJ26" i="34" s="1"/>
  <c r="AM45" i="36"/>
  <c r="R45" i="36"/>
  <c r="AM44" i="36"/>
  <c r="AV45" i="34" s="1"/>
  <c r="BJ45" i="34" s="1"/>
  <c r="R44" i="36"/>
  <c r="AV24" i="34" s="1"/>
  <c r="BJ24" i="34" s="1"/>
  <c r="BH24" i="34" s="1"/>
  <c r="AM43" i="36"/>
  <c r="R43" i="36"/>
  <c r="AV23" i="34" s="1"/>
  <c r="BJ23" i="34" s="1"/>
  <c r="AM42" i="36"/>
  <c r="AV43" i="34" s="1"/>
  <c r="BJ43" i="34" s="1"/>
  <c r="R42" i="36"/>
  <c r="AV22" i="34" s="1"/>
  <c r="BJ22" i="34" s="1"/>
  <c r="AM41" i="36"/>
  <c r="AV42" i="34" s="1"/>
  <c r="BJ42" i="34" s="1"/>
  <c r="R41" i="36"/>
  <c r="AV21" i="34" s="1"/>
  <c r="BJ21" i="34" s="1"/>
  <c r="AM40" i="36"/>
  <c r="AV41" i="34" s="1"/>
  <c r="BJ41" i="34" s="1"/>
  <c r="R40" i="36"/>
  <c r="AV20" i="34" s="1"/>
  <c r="BJ20" i="34" s="1"/>
  <c r="BH20" i="34" s="1"/>
  <c r="AM39" i="36"/>
  <c r="AV40" i="34" s="1"/>
  <c r="BJ40" i="34" s="1"/>
  <c r="R39" i="36"/>
  <c r="AV19" i="34" s="1"/>
  <c r="BJ19" i="34" s="1"/>
  <c r="AM38" i="36"/>
  <c r="AV39" i="34" s="1"/>
  <c r="BJ39" i="34" s="1"/>
  <c r="R38" i="36"/>
  <c r="AV18" i="34" s="1"/>
  <c r="BJ18" i="34" s="1"/>
  <c r="AM37" i="36"/>
  <c r="AV38" i="34" s="1"/>
  <c r="BJ38" i="34" s="1"/>
  <c r="R37" i="36"/>
  <c r="AV17" i="34" s="1"/>
  <c r="BJ17" i="34" s="1"/>
  <c r="AM36" i="36"/>
  <c r="AV37" i="34" s="1"/>
  <c r="BJ37" i="34" s="1"/>
  <c r="R36" i="36"/>
  <c r="AV16" i="34" s="1"/>
  <c r="BJ16" i="34" s="1"/>
  <c r="BH16" i="34" s="1"/>
  <c r="AM35" i="36"/>
  <c r="AV36" i="34" s="1"/>
  <c r="BJ36" i="34" s="1"/>
  <c r="BH36" i="34" s="1"/>
  <c r="R35" i="36"/>
  <c r="AV15" i="34" s="1"/>
  <c r="BJ15" i="34" s="1"/>
  <c r="AM34" i="36"/>
  <c r="AV35" i="34" s="1"/>
  <c r="BJ35" i="34" s="1"/>
  <c r="R34" i="36"/>
  <c r="AV14" i="34" s="1"/>
  <c r="BJ14" i="34" s="1"/>
  <c r="AM33" i="36"/>
  <c r="AV34" i="34" s="1"/>
  <c r="BJ34" i="34" s="1"/>
  <c r="R33" i="36"/>
  <c r="AM32" i="36"/>
  <c r="AV33" i="34" s="1"/>
  <c r="BJ33" i="34" s="1"/>
  <c r="R32" i="36"/>
  <c r="AV12" i="34" s="1"/>
  <c r="BJ12" i="34" s="1"/>
  <c r="BH12" i="34" s="1"/>
  <c r="AM31" i="36"/>
  <c r="AV32" i="34" s="1"/>
  <c r="BJ32" i="34" s="1"/>
  <c r="BH32" i="34" s="1"/>
  <c r="R31" i="36"/>
  <c r="AV11" i="34" s="1"/>
  <c r="BJ11" i="34" s="1"/>
  <c r="S11" i="36"/>
  <c r="BN45" i="34"/>
  <c r="BN44" i="34"/>
  <c r="BN43" i="34"/>
  <c r="BN42" i="34"/>
  <c r="BN41" i="34"/>
  <c r="BN40" i="34"/>
  <c r="BN39" i="34"/>
  <c r="BN38" i="34"/>
  <c r="BN37" i="34"/>
  <c r="BN36" i="34"/>
  <c r="BN35" i="34"/>
  <c r="BN34" i="34"/>
  <c r="BN33" i="34"/>
  <c r="BN32" i="34"/>
  <c r="BN31" i="34"/>
  <c r="BN30" i="34"/>
  <c r="BN29" i="34"/>
  <c r="BN28" i="34"/>
  <c r="BN27" i="34"/>
  <c r="BN26" i="34"/>
  <c r="BN25" i="34"/>
  <c r="BN24" i="34"/>
  <c r="BN23" i="34"/>
  <c r="BN22" i="34"/>
  <c r="BN21" i="34"/>
  <c r="BN20" i="34"/>
  <c r="BN19" i="34"/>
  <c r="BN18" i="34"/>
  <c r="BN17" i="34"/>
  <c r="BN16" i="34"/>
  <c r="BN15" i="34"/>
  <c r="BN14" i="34"/>
  <c r="BN13" i="34"/>
  <c r="BN12" i="34"/>
  <c r="BN11" i="34"/>
  <c r="B33" i="36" l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D11" i="34"/>
  <c r="AX11" i="34" s="1"/>
  <c r="BQ43" i="34"/>
  <c r="BH43" i="34"/>
  <c r="BS43" i="34"/>
  <c r="BR43" i="34"/>
  <c r="BQ44" i="34"/>
  <c r="BH44" i="34"/>
  <c r="BS44" i="34"/>
  <c r="BR44" i="34"/>
  <c r="BR45" i="34"/>
  <c r="BQ45" i="34"/>
  <c r="BH45" i="34"/>
  <c r="BS45" i="34"/>
  <c r="BH42" i="34"/>
  <c r="BS42" i="34"/>
  <c r="BR42" i="34"/>
  <c r="BQ42" i="34"/>
  <c r="BH40" i="34"/>
  <c r="D12" i="34"/>
  <c r="AX12" i="34" s="1"/>
  <c r="BH21" i="34"/>
  <c r="BS21" i="34"/>
  <c r="BR21" i="34"/>
  <c r="BQ21" i="34"/>
  <c r="BH37" i="34"/>
  <c r="BQ37" i="34"/>
  <c r="BS37" i="34"/>
  <c r="BR37" i="34"/>
  <c r="BQ26" i="34"/>
  <c r="BR26" i="34"/>
  <c r="BS26" i="34"/>
  <c r="BH26" i="34"/>
  <c r="BQ22" i="34"/>
  <c r="BH22" i="34"/>
  <c r="BR22" i="34"/>
  <c r="BS22" i="34"/>
  <c r="BQ38" i="34"/>
  <c r="BH38" i="34"/>
  <c r="BR38" i="34"/>
  <c r="BS38" i="34"/>
  <c r="BH13" i="34"/>
  <c r="BQ13" i="34"/>
  <c r="BS13" i="34"/>
  <c r="BR13" i="34"/>
  <c r="BS27" i="34"/>
  <c r="BR27" i="34"/>
  <c r="BQ27" i="34"/>
  <c r="BH27" i="34"/>
  <c r="BH29" i="34"/>
  <c r="BQ29" i="34"/>
  <c r="BS29" i="34"/>
  <c r="BR29" i="34"/>
  <c r="BS35" i="34"/>
  <c r="BR35" i="34"/>
  <c r="BQ35" i="34"/>
  <c r="BH35" i="34"/>
  <c r="BS31" i="34"/>
  <c r="BR31" i="34"/>
  <c r="BQ31" i="34"/>
  <c r="BH31" i="34"/>
  <c r="BQ34" i="34"/>
  <c r="BH34" i="34"/>
  <c r="BR34" i="34"/>
  <c r="BS34" i="34"/>
  <c r="BS15" i="34"/>
  <c r="BH15" i="34"/>
  <c r="BR15" i="34"/>
  <c r="BQ15" i="34"/>
  <c r="BH33" i="34"/>
  <c r="BS33" i="34"/>
  <c r="BQ33" i="34"/>
  <c r="BR33" i="34"/>
  <c r="BQ18" i="34"/>
  <c r="BS18" i="34"/>
  <c r="BH18" i="34"/>
  <c r="BR18" i="34"/>
  <c r="BS23" i="34"/>
  <c r="BR23" i="34"/>
  <c r="BQ23" i="34"/>
  <c r="BH23" i="34"/>
  <c r="BH25" i="34"/>
  <c r="BQ25" i="34"/>
  <c r="BR25" i="34"/>
  <c r="BS25" i="34"/>
  <c r="BS39" i="34"/>
  <c r="BR39" i="34"/>
  <c r="BQ39" i="34"/>
  <c r="BH39" i="34"/>
  <c r="BH41" i="34"/>
  <c r="BQ41" i="34"/>
  <c r="BS41" i="34"/>
  <c r="BR41" i="34"/>
  <c r="BS19" i="34"/>
  <c r="BR19" i="34"/>
  <c r="BQ19" i="34"/>
  <c r="BH19" i="34"/>
  <c r="BH17" i="34"/>
  <c r="BQ17" i="34"/>
  <c r="BS17" i="34"/>
  <c r="BR17" i="34"/>
  <c r="BS11" i="34"/>
  <c r="BR11" i="34"/>
  <c r="BQ11" i="34"/>
  <c r="BH11" i="34"/>
  <c r="BT11" i="34"/>
  <c r="BQ14" i="34"/>
  <c r="BS14" i="34"/>
  <c r="BR14" i="34"/>
  <c r="BH14" i="34"/>
  <c r="BQ30" i="34"/>
  <c r="BR30" i="34"/>
  <c r="BS30" i="34"/>
  <c r="BH30" i="34"/>
  <c r="BQ12" i="34"/>
  <c r="BQ16" i="34"/>
  <c r="BQ20" i="34"/>
  <c r="BQ24" i="34"/>
  <c r="BQ28" i="34"/>
  <c r="BQ32" i="34"/>
  <c r="BQ36" i="34"/>
  <c r="BR16" i="34"/>
  <c r="BR20" i="34"/>
  <c r="BR24" i="34"/>
  <c r="BR28" i="34"/>
  <c r="BR32" i="34"/>
  <c r="BR36" i="34"/>
  <c r="BR40" i="34"/>
  <c r="BR12" i="34"/>
  <c r="BS12" i="34"/>
  <c r="BS16" i="34"/>
  <c r="BS20" i="34"/>
  <c r="BS24" i="34"/>
  <c r="BS28" i="34"/>
  <c r="BS32" i="34"/>
  <c r="BS36" i="34"/>
  <c r="BS40" i="34"/>
  <c r="Q19" i="35"/>
  <c r="Q20" i="35"/>
  <c r="Q18" i="35"/>
  <c r="V31" i="36" l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BT12" i="34"/>
  <c r="BW12" i="34" s="1"/>
  <c r="BU45" i="34"/>
  <c r="BU44" i="34"/>
  <c r="BU42" i="34"/>
  <c r="BU43" i="34"/>
  <c r="BV11" i="34"/>
  <c r="D13" i="34"/>
  <c r="BU27" i="34"/>
  <c r="BU38" i="34"/>
  <c r="BU28" i="34"/>
  <c r="BU16" i="34"/>
  <c r="BU19" i="34"/>
  <c r="BU25" i="34"/>
  <c r="BU21" i="34"/>
  <c r="BU37" i="34"/>
  <c r="BU20" i="34"/>
  <c r="BU39" i="34"/>
  <c r="BU15" i="34"/>
  <c r="BU29" i="34"/>
  <c r="BU26" i="34"/>
  <c r="BU33" i="34"/>
  <c r="BU30" i="34"/>
  <c r="BU41" i="34"/>
  <c r="BU12" i="34"/>
  <c r="BU36" i="34"/>
  <c r="BU14" i="34"/>
  <c r="BU18" i="34"/>
  <c r="BU34" i="34"/>
  <c r="BU22" i="34"/>
  <c r="BU24" i="34"/>
  <c r="BU11" i="34"/>
  <c r="BW11" i="34"/>
  <c r="BU31" i="34"/>
  <c r="BU32" i="34"/>
  <c r="BU17" i="34"/>
  <c r="BU23" i="34"/>
  <c r="BU35" i="34"/>
  <c r="BU13" i="34"/>
  <c r="B32" i="35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V31" i="35" s="1"/>
  <c r="V32" i="35" s="1"/>
  <c r="V33" i="35" s="1"/>
  <c r="V34" i="35" s="1"/>
  <c r="V35" i="35" s="1"/>
  <c r="V36" i="35" s="1"/>
  <c r="V37" i="35" s="1"/>
  <c r="V38" i="35" s="1"/>
  <c r="V39" i="35" s="1"/>
  <c r="V40" i="35" s="1"/>
  <c r="V41" i="35" s="1"/>
  <c r="V42" i="35" s="1"/>
  <c r="V43" i="35" s="1"/>
  <c r="R51" i="35"/>
  <c r="R50" i="35"/>
  <c r="R49" i="35"/>
  <c r="R48" i="35"/>
  <c r="R47" i="35"/>
  <c r="R46" i="35"/>
  <c r="R45" i="35"/>
  <c r="R44" i="35"/>
  <c r="AM43" i="35"/>
  <c r="R43" i="35"/>
  <c r="AM42" i="35"/>
  <c r="R42" i="35"/>
  <c r="AM41" i="35"/>
  <c r="R41" i="35"/>
  <c r="AM40" i="35"/>
  <c r="R40" i="35"/>
  <c r="AM39" i="35"/>
  <c r="R39" i="35"/>
  <c r="AM38" i="35"/>
  <c r="R38" i="35"/>
  <c r="AM37" i="35"/>
  <c r="R37" i="35"/>
  <c r="AM36" i="35"/>
  <c r="R36" i="35"/>
  <c r="AM35" i="35"/>
  <c r="R35" i="35"/>
  <c r="AM34" i="35"/>
  <c r="R34" i="35"/>
  <c r="AM33" i="35"/>
  <c r="R33" i="35"/>
  <c r="AM32" i="35"/>
  <c r="R32" i="35"/>
  <c r="AM31" i="35"/>
  <c r="R31" i="35"/>
  <c r="S11" i="35"/>
  <c r="B32" i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S11" i="1"/>
  <c r="D4" i="34"/>
  <c r="D3" i="34"/>
  <c r="BV12" i="34" l="1"/>
  <c r="AX13" i="34"/>
  <c r="BT13" i="34"/>
  <c r="D14" i="34"/>
  <c r="D15" i="34" l="1"/>
  <c r="AX14" i="34"/>
  <c r="BT14" i="34"/>
  <c r="BV13" i="34"/>
  <c r="BW13" i="34"/>
  <c r="D16" i="34" l="1"/>
  <c r="BW14" i="34"/>
  <c r="BV14" i="34"/>
  <c r="AX15" i="34"/>
  <c r="BT15" i="34"/>
  <c r="D17" i="34" l="1"/>
  <c r="AX16" i="34"/>
  <c r="BT16" i="34"/>
  <c r="BV15" i="34"/>
  <c r="BW15" i="34"/>
  <c r="BV16" i="34" l="1"/>
  <c r="BW16" i="34"/>
  <c r="AX17" i="34"/>
  <c r="BT17" i="34"/>
  <c r="D18" i="34"/>
  <c r="C12" i="32"/>
  <c r="B13" i="32" s="1"/>
  <c r="C13" i="32" s="1"/>
  <c r="B14" i="32" s="1"/>
  <c r="C14" i="32" s="1"/>
  <c r="B15" i="32" s="1"/>
  <c r="C15" i="32" s="1"/>
  <c r="B16" i="32" s="1"/>
  <c r="C16" i="32" s="1"/>
  <c r="B17" i="32" s="1"/>
  <c r="C17" i="32" s="1"/>
  <c r="B18" i="32" s="1"/>
  <c r="C18" i="32" s="1"/>
  <c r="B19" i="32" s="1"/>
  <c r="C19" i="32" s="1"/>
  <c r="B20" i="32" s="1"/>
  <c r="C20" i="32" s="1"/>
  <c r="B21" i="32" s="1"/>
  <c r="C21" i="32" s="1"/>
  <c r="B22" i="32" s="1"/>
  <c r="C22" i="32" s="1"/>
  <c r="B23" i="32" s="1"/>
  <c r="C23" i="32" s="1"/>
  <c r="B24" i="32" s="1"/>
  <c r="C24" i="32" s="1"/>
  <c r="B25" i="32" s="1"/>
  <c r="C25" i="32" s="1"/>
  <c r="D19" i="34" l="1"/>
  <c r="AX18" i="34"/>
  <c r="BT18" i="34"/>
  <c r="BV17" i="34"/>
  <c r="BW17" i="34"/>
  <c r="B26" i="32"/>
  <c r="C26" i="32" s="1"/>
  <c r="D25" i="32"/>
  <c r="AZ25" i="32" s="1"/>
  <c r="D20" i="34" l="1"/>
  <c r="BW18" i="34"/>
  <c r="BV18" i="34"/>
  <c r="AX19" i="34"/>
  <c r="BT19" i="34"/>
  <c r="B27" i="32"/>
  <c r="C27" i="32" s="1"/>
  <c r="D26" i="32"/>
  <c r="AZ26" i="32" s="1"/>
  <c r="BA25" i="32"/>
  <c r="BB25" i="32" s="1"/>
  <c r="BV19" i="34" l="1"/>
  <c r="BW19" i="34"/>
  <c r="D21" i="34"/>
  <c r="AX20" i="34"/>
  <c r="BT20" i="34"/>
  <c r="BC25" i="32"/>
  <c r="BD25" i="32" s="1"/>
  <c r="BE25" i="32" s="1"/>
  <c r="BF25" i="32" s="1"/>
  <c r="B28" i="32"/>
  <c r="C28" i="32" s="1"/>
  <c r="B29" i="32" s="1"/>
  <c r="C29" i="32" s="1"/>
  <c r="D27" i="32"/>
  <c r="AZ27" i="32" s="1"/>
  <c r="BA26" i="32"/>
  <c r="BB26" i="32" s="1"/>
  <c r="BW20" i="34" l="1"/>
  <c r="BV20" i="34"/>
  <c r="AX21" i="34"/>
  <c r="BT21" i="34"/>
  <c r="D22" i="34"/>
  <c r="BH25" i="32"/>
  <c r="BP25" i="32"/>
  <c r="D29" i="32"/>
  <c r="AZ29" i="32" s="1"/>
  <c r="B30" i="32"/>
  <c r="C30" i="32" s="1"/>
  <c r="BK25" i="32"/>
  <c r="BI25" i="32"/>
  <c r="BJ25" i="32"/>
  <c r="D28" i="32"/>
  <c r="AZ28" i="32" s="1"/>
  <c r="BC26" i="32"/>
  <c r="BD26" i="32" s="1"/>
  <c r="BE26" i="32" s="1"/>
  <c r="BF26" i="32" s="1"/>
  <c r="BP26" i="32" s="1"/>
  <c r="BA27" i="32"/>
  <c r="BB27" i="32" s="1"/>
  <c r="BL25" i="32" l="1"/>
  <c r="D23" i="34"/>
  <c r="AX22" i="34"/>
  <c r="BT22" i="34"/>
  <c r="BV21" i="34"/>
  <c r="BW21" i="34"/>
  <c r="BM25" i="32"/>
  <c r="B31" i="32"/>
  <c r="C31" i="32" s="1"/>
  <c r="D30" i="32"/>
  <c r="AZ30" i="32" s="1"/>
  <c r="BA29" i="32"/>
  <c r="BB29" i="32" s="1"/>
  <c r="BC27" i="32"/>
  <c r="BD27" i="32" s="1"/>
  <c r="BE27" i="32" s="1"/>
  <c r="BF27" i="32" s="1"/>
  <c r="BP27" i="32" s="1"/>
  <c r="BN25" i="32"/>
  <c r="BH26" i="32"/>
  <c r="BI26" i="32"/>
  <c r="BK26" i="32"/>
  <c r="BJ26" i="32"/>
  <c r="BA28" i="32"/>
  <c r="BB28" i="32" s="1"/>
  <c r="D24" i="32"/>
  <c r="D23" i="32"/>
  <c r="AZ23" i="32" s="1"/>
  <c r="D22" i="32"/>
  <c r="AZ22" i="32" s="1"/>
  <c r="D21" i="32"/>
  <c r="AZ21" i="32" s="1"/>
  <c r="D20" i="32"/>
  <c r="AZ20" i="32" s="1"/>
  <c r="D19" i="32"/>
  <c r="D18" i="32"/>
  <c r="D17" i="32"/>
  <c r="D16" i="32"/>
  <c r="AZ16" i="32" s="1"/>
  <c r="D15" i="32"/>
  <c r="D14" i="32"/>
  <c r="D13" i="32"/>
  <c r="AZ13" i="32" s="1"/>
  <c r="D12" i="32"/>
  <c r="AZ12" i="32" s="1"/>
  <c r="BW22" i="34" l="1"/>
  <c r="BV22" i="34"/>
  <c r="AX23" i="34"/>
  <c r="BT23" i="34"/>
  <c r="D24" i="34"/>
  <c r="BC28" i="32"/>
  <c r="BD28" i="32" s="1"/>
  <c r="BE28" i="32" s="1"/>
  <c r="BF28" i="32" s="1"/>
  <c r="BP28" i="32" s="1"/>
  <c r="BA30" i="32"/>
  <c r="BB30" i="32" s="1"/>
  <c r="D31" i="32"/>
  <c r="AZ31" i="32" s="1"/>
  <c r="B32" i="32"/>
  <c r="C32" i="32" s="1"/>
  <c r="BC29" i="32"/>
  <c r="BD29" i="32" s="1"/>
  <c r="BL26" i="32"/>
  <c r="BN26" i="32"/>
  <c r="BJ27" i="32"/>
  <c r="BI27" i="32"/>
  <c r="BK27" i="32"/>
  <c r="BH27" i="32"/>
  <c r="BM26" i="32"/>
  <c r="AZ17" i="32"/>
  <c r="BA17" i="32" s="1"/>
  <c r="BA13" i="32"/>
  <c r="BB13" i="32" s="1"/>
  <c r="BC13" i="32" s="1"/>
  <c r="BD13" i="32" s="1"/>
  <c r="BE13" i="32" s="1"/>
  <c r="BA21" i="32"/>
  <c r="BB21" i="32" s="1"/>
  <c r="BA23" i="32"/>
  <c r="BB23" i="32" s="1"/>
  <c r="AZ18" i="32"/>
  <c r="BA18" i="32" s="1"/>
  <c r="BB18" i="32" s="1"/>
  <c r="AZ14" i="32"/>
  <c r="BA14" i="32" s="1"/>
  <c r="BB14" i="32" s="1"/>
  <c r="BA22" i="32"/>
  <c r="BB22" i="32" s="1"/>
  <c r="BA16" i="32"/>
  <c r="BB16" i="32" s="1"/>
  <c r="BC16" i="32" s="1"/>
  <c r="BD16" i="32" s="1"/>
  <c r="BE16" i="32" s="1"/>
  <c r="AZ19" i="32"/>
  <c r="BA12" i="32"/>
  <c r="AZ15" i="32"/>
  <c r="BA20" i="32"/>
  <c r="AZ24" i="32"/>
  <c r="R45" i="1"/>
  <c r="AM51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32" i="1"/>
  <c r="AM31" i="1"/>
  <c r="R51" i="1"/>
  <c r="R33" i="1"/>
  <c r="R34" i="1"/>
  <c r="R35" i="1"/>
  <c r="R36" i="1"/>
  <c r="R37" i="1"/>
  <c r="R38" i="1"/>
  <c r="R39" i="1"/>
  <c r="R40" i="1"/>
  <c r="R41" i="1"/>
  <c r="R42" i="1"/>
  <c r="R43" i="1"/>
  <c r="R44" i="1"/>
  <c r="R46" i="1"/>
  <c r="R47" i="1"/>
  <c r="R48" i="1"/>
  <c r="R49" i="1"/>
  <c r="R50" i="1"/>
  <c r="R32" i="1"/>
  <c r="R31" i="1"/>
  <c r="AX24" i="34" l="1"/>
  <c r="BT24" i="34"/>
  <c r="D25" i="34"/>
  <c r="BV23" i="34"/>
  <c r="BW23" i="34"/>
  <c r="BE29" i="32"/>
  <c r="BF29" i="32" s="1"/>
  <c r="BP29" i="32" s="1"/>
  <c r="BA31" i="32"/>
  <c r="BB31" i="32" s="1"/>
  <c r="B33" i="32"/>
  <c r="C33" i="32" s="1"/>
  <c r="D32" i="32"/>
  <c r="AZ32" i="32" s="1"/>
  <c r="BC30" i="32"/>
  <c r="BD30" i="32" s="1"/>
  <c r="BM27" i="32"/>
  <c r="BL27" i="32"/>
  <c r="BN27" i="32"/>
  <c r="BH28" i="32"/>
  <c r="BI28" i="32"/>
  <c r="BK28" i="32"/>
  <c r="BJ28" i="32"/>
  <c r="BC22" i="32"/>
  <c r="BD22" i="32" s="1"/>
  <c r="BE22" i="32" s="1"/>
  <c r="BF22" i="32" s="1"/>
  <c r="BP22" i="32" s="1"/>
  <c r="BB17" i="32"/>
  <c r="BC17" i="32" s="1"/>
  <c r="BD17" i="32" s="1"/>
  <c r="BE17" i="32" s="1"/>
  <c r="BC23" i="32"/>
  <c r="BD23" i="32" s="1"/>
  <c r="BE23" i="32" s="1"/>
  <c r="BF23" i="32" s="1"/>
  <c r="BP23" i="32" s="1"/>
  <c r="BC21" i="32"/>
  <c r="BD21" i="32" s="1"/>
  <c r="BB20" i="32"/>
  <c r="BB12" i="32"/>
  <c r="BC12" i="32" s="1"/>
  <c r="BD12" i="32" s="1"/>
  <c r="BE12" i="32" s="1"/>
  <c r="BC14" i="32"/>
  <c r="BD14" i="32" s="1"/>
  <c r="BE14" i="32" s="1"/>
  <c r="BF13" i="32"/>
  <c r="BP13" i="32" s="1"/>
  <c r="BA19" i="32"/>
  <c r="BB19" i="32" s="1"/>
  <c r="BC18" i="32"/>
  <c r="BD18" i="32" s="1"/>
  <c r="BE18" i="32" s="1"/>
  <c r="BA24" i="32"/>
  <c r="BB24" i="32" s="1"/>
  <c r="BA15" i="32"/>
  <c r="BB15" i="32" s="1"/>
  <c r="BF16" i="32"/>
  <c r="BP16" i="32" s="1"/>
  <c r="BS46" i="34" l="1"/>
  <c r="BR46" i="34"/>
  <c r="D26" i="34"/>
  <c r="AX25" i="34"/>
  <c r="BT25" i="34"/>
  <c r="BV24" i="34"/>
  <c r="BW24" i="34"/>
  <c r="BE30" i="32"/>
  <c r="BF30" i="32" s="1"/>
  <c r="BP30" i="32" s="1"/>
  <c r="BK29" i="32"/>
  <c r="BI29" i="32"/>
  <c r="BJ29" i="32"/>
  <c r="BH29" i="32"/>
  <c r="BM28" i="32"/>
  <c r="BE21" i="32"/>
  <c r="BF21" i="32" s="1"/>
  <c r="BP21" i="32" s="1"/>
  <c r="BC31" i="32"/>
  <c r="BD31" i="32" s="1"/>
  <c r="BE31" i="32" s="1"/>
  <c r="BF31" i="32" s="1"/>
  <c r="BP31" i="32" s="1"/>
  <c r="BK23" i="32"/>
  <c r="BJ22" i="32"/>
  <c r="BA32" i="32"/>
  <c r="BB32" i="32" s="1"/>
  <c r="B34" i="32"/>
  <c r="C34" i="32" s="1"/>
  <c r="D33" i="32"/>
  <c r="AZ33" i="32" s="1"/>
  <c r="BI22" i="32"/>
  <c r="BL28" i="32"/>
  <c r="BN28" i="32"/>
  <c r="BF17" i="32"/>
  <c r="BP17" i="32" s="1"/>
  <c r="BF18" i="32"/>
  <c r="BP18" i="32" s="1"/>
  <c r="BF14" i="32"/>
  <c r="BP14" i="32" s="1"/>
  <c r="BF12" i="32"/>
  <c r="BP12" i="32" s="1"/>
  <c r="BH22" i="32"/>
  <c r="BK22" i="32"/>
  <c r="BI23" i="32"/>
  <c r="BC20" i="32"/>
  <c r="BD20" i="32" s="1"/>
  <c r="BE20" i="32" s="1"/>
  <c r="BC15" i="32"/>
  <c r="BD15" i="32" s="1"/>
  <c r="BE15" i="32" s="1"/>
  <c r="BJ23" i="32"/>
  <c r="BH23" i="32"/>
  <c r="BJ16" i="32"/>
  <c r="BI16" i="32"/>
  <c r="BH16" i="32"/>
  <c r="BK16" i="32"/>
  <c r="BC24" i="32"/>
  <c r="BD24" i="32" s="1"/>
  <c r="BI13" i="32"/>
  <c r="BH13" i="32"/>
  <c r="BK13" i="32"/>
  <c r="BJ13" i="32"/>
  <c r="BC19" i="32"/>
  <c r="BD19" i="32" s="1"/>
  <c r="BE19" i="32" s="1"/>
  <c r="D27" i="34" l="1"/>
  <c r="BV25" i="34"/>
  <c r="BW25" i="34"/>
  <c r="AX26" i="34"/>
  <c r="BT26" i="34"/>
  <c r="BL29" i="32"/>
  <c r="BM22" i="32"/>
  <c r="BM29" i="32"/>
  <c r="BI30" i="32"/>
  <c r="BJ30" i="32"/>
  <c r="BH30" i="32"/>
  <c r="BN29" i="32"/>
  <c r="BK30" i="32"/>
  <c r="BE24" i="32"/>
  <c r="BF24" i="32" s="1"/>
  <c r="BP24" i="32" s="1"/>
  <c r="BJ21" i="32"/>
  <c r="BI21" i="32"/>
  <c r="BH21" i="32"/>
  <c r="BK21" i="32"/>
  <c r="BM23" i="32"/>
  <c r="BJ18" i="32"/>
  <c r="BI17" i="32"/>
  <c r="BI12" i="32"/>
  <c r="BA33" i="32"/>
  <c r="BB33" i="32" s="1"/>
  <c r="BI31" i="32"/>
  <c r="BH31" i="32"/>
  <c r="BK31" i="32"/>
  <c r="BJ31" i="32"/>
  <c r="BC32" i="32"/>
  <c r="BD32" i="32" s="1"/>
  <c r="BE32" i="32" s="1"/>
  <c r="BF32" i="32" s="1"/>
  <c r="BP32" i="32" s="1"/>
  <c r="BL22" i="32"/>
  <c r="BK14" i="32"/>
  <c r="B35" i="32"/>
  <c r="C35" i="32" s="1"/>
  <c r="D34" i="32"/>
  <c r="AZ34" i="32" s="1"/>
  <c r="BH18" i="32"/>
  <c r="BH17" i="32"/>
  <c r="BI18" i="32"/>
  <c r="BK17" i="32"/>
  <c r="BL23" i="32"/>
  <c r="BJ12" i="32"/>
  <c r="BK18" i="32"/>
  <c r="BJ17" i="32"/>
  <c r="BK12" i="32"/>
  <c r="BH12" i="32"/>
  <c r="BL12" i="32" s="1"/>
  <c r="BI14" i="32"/>
  <c r="BH14" i="32"/>
  <c r="BF15" i="32"/>
  <c r="BF19" i="32"/>
  <c r="BP19" i="32" s="1"/>
  <c r="BJ14" i="32"/>
  <c r="BN22" i="32"/>
  <c r="BF20" i="32"/>
  <c r="BP20" i="32" s="1"/>
  <c r="BN23" i="32"/>
  <c r="BM13" i="32"/>
  <c r="BM16" i="32"/>
  <c r="BL13" i="32"/>
  <c r="BN13" i="32"/>
  <c r="BN16" i="32"/>
  <c r="BL16" i="32"/>
  <c r="BV26" i="34" l="1"/>
  <c r="BW26" i="34"/>
  <c r="D28" i="34"/>
  <c r="AX27" i="34"/>
  <c r="BT27" i="34"/>
  <c r="BL30" i="32"/>
  <c r="BK15" i="32"/>
  <c r="BP15" i="32"/>
  <c r="BN30" i="32"/>
  <c r="BM21" i="32"/>
  <c r="BM14" i="32"/>
  <c r="BM18" i="32"/>
  <c r="BM30" i="32"/>
  <c r="BL21" i="32"/>
  <c r="BK32" i="32"/>
  <c r="BH32" i="32"/>
  <c r="BJ32" i="32"/>
  <c r="BI32" i="32"/>
  <c r="BI24" i="32"/>
  <c r="BH24" i="32"/>
  <c r="BJ24" i="32"/>
  <c r="BK24" i="32"/>
  <c r="BN21" i="32"/>
  <c r="BM31" i="32"/>
  <c r="BL17" i="32"/>
  <c r="BC33" i="32"/>
  <c r="BD33" i="32" s="1"/>
  <c r="BE33" i="32" s="1"/>
  <c r="BF33" i="32" s="1"/>
  <c r="BP33" i="32" s="1"/>
  <c r="BJ19" i="32"/>
  <c r="BA34" i="32"/>
  <c r="BB34" i="32" s="1"/>
  <c r="BN17" i="32"/>
  <c r="BL31" i="32"/>
  <c r="BN31" i="32"/>
  <c r="BJ20" i="32"/>
  <c r="BJ15" i="32"/>
  <c r="B36" i="32"/>
  <c r="C36" i="32" s="1"/>
  <c r="D35" i="32"/>
  <c r="AZ35" i="32" s="1"/>
  <c r="BL18" i="32"/>
  <c r="BN18" i="32"/>
  <c r="BM17" i="32"/>
  <c r="BL14" i="32"/>
  <c r="BM12" i="32"/>
  <c r="BN12" i="32"/>
  <c r="BH15" i="32"/>
  <c r="BN14" i="32"/>
  <c r="BI15" i="32"/>
  <c r="BH19" i="32"/>
  <c r="BK19" i="32"/>
  <c r="BH20" i="32"/>
  <c r="BI20" i="32"/>
  <c r="BI19" i="32"/>
  <c r="BK20" i="32"/>
  <c r="BV27" i="34" l="1"/>
  <c r="BW27" i="34"/>
  <c r="AX28" i="34"/>
  <c r="BT28" i="34"/>
  <c r="D29" i="34"/>
  <c r="BL24" i="32"/>
  <c r="BM15" i="32"/>
  <c r="BL32" i="32"/>
  <c r="BM19" i="32"/>
  <c r="BN32" i="32"/>
  <c r="BN24" i="32"/>
  <c r="BM32" i="32"/>
  <c r="BC34" i="32"/>
  <c r="BD34" i="32" s="1"/>
  <c r="BE34" i="32" s="1"/>
  <c r="BF34" i="32" s="1"/>
  <c r="BP34" i="32" s="1"/>
  <c r="BM24" i="32"/>
  <c r="BA35" i="32"/>
  <c r="BB35" i="32" s="1"/>
  <c r="BI33" i="32"/>
  <c r="BH33" i="32"/>
  <c r="BK33" i="32"/>
  <c r="BJ33" i="32"/>
  <c r="D36" i="32"/>
  <c r="AZ36" i="32" s="1"/>
  <c r="B37" i="32"/>
  <c r="C37" i="32" s="1"/>
  <c r="BL15" i="32"/>
  <c r="BN15" i="32"/>
  <c r="BL19" i="32"/>
  <c r="BN20" i="32"/>
  <c r="BL20" i="32"/>
  <c r="BN19" i="32"/>
  <c r="BM20" i="32"/>
  <c r="D30" i="34" l="1"/>
  <c r="AX29" i="34"/>
  <c r="BT29" i="34"/>
  <c r="BV28" i="34"/>
  <c r="BW28" i="34"/>
  <c r="BJ34" i="32"/>
  <c r="BI34" i="32"/>
  <c r="BK34" i="32"/>
  <c r="BH34" i="32"/>
  <c r="BL33" i="32"/>
  <c r="BN33" i="32"/>
  <c r="BC35" i="32"/>
  <c r="BD35" i="32" s="1"/>
  <c r="BE35" i="32" s="1"/>
  <c r="BF35" i="32" s="1"/>
  <c r="BP35" i="32" s="1"/>
  <c r="B38" i="32"/>
  <c r="C38" i="32" s="1"/>
  <c r="D37" i="32"/>
  <c r="AZ37" i="32" s="1"/>
  <c r="BA36" i="32"/>
  <c r="BB36" i="32" s="1"/>
  <c r="BM33" i="32"/>
  <c r="BV29" i="34" l="1"/>
  <c r="BW29" i="34"/>
  <c r="D31" i="34"/>
  <c r="AX30" i="34"/>
  <c r="BT30" i="34"/>
  <c r="BM34" i="32"/>
  <c r="BI35" i="32"/>
  <c r="BJ35" i="32"/>
  <c r="BH35" i="32"/>
  <c r="BK35" i="32"/>
  <c r="BL34" i="32"/>
  <c r="BN34" i="32"/>
  <c r="BA37" i="32"/>
  <c r="BB37" i="32" s="1"/>
  <c r="B39" i="32"/>
  <c r="C39" i="32" s="1"/>
  <c r="D38" i="32"/>
  <c r="AZ38" i="32" s="1"/>
  <c r="BC36" i="32"/>
  <c r="BD36" i="32" s="1"/>
  <c r="BE36" i="32" s="1"/>
  <c r="BF36" i="32" s="1"/>
  <c r="BP36" i="32" s="1"/>
  <c r="BW30" i="34" l="1"/>
  <c r="BV30" i="34"/>
  <c r="AX31" i="34"/>
  <c r="BT31" i="34"/>
  <c r="D32" i="34"/>
  <c r="BM35" i="32"/>
  <c r="BL35" i="32"/>
  <c r="BN35" i="32"/>
  <c r="BC37" i="32"/>
  <c r="BD37" i="32" s="1"/>
  <c r="BE37" i="32" s="1"/>
  <c r="BF37" i="32" s="1"/>
  <c r="BK36" i="32"/>
  <c r="BJ36" i="32"/>
  <c r="BI36" i="32"/>
  <c r="BH36" i="32"/>
  <c r="BA38" i="32"/>
  <c r="BB38" i="32" s="1"/>
  <c r="B40" i="32"/>
  <c r="C40" i="32" s="1"/>
  <c r="D39" i="32"/>
  <c r="AZ39" i="32" s="1"/>
  <c r="BW31" i="34" l="1"/>
  <c r="BV31" i="34"/>
  <c r="D33" i="34"/>
  <c r="AX32" i="34"/>
  <c r="BT32" i="34"/>
  <c r="BI37" i="32"/>
  <c r="BP37" i="32"/>
  <c r="BK37" i="32"/>
  <c r="BH37" i="32"/>
  <c r="BJ37" i="32"/>
  <c r="BM36" i="32"/>
  <c r="B41" i="32"/>
  <c r="C41" i="32" s="1"/>
  <c r="D40" i="32"/>
  <c r="AZ40" i="32" s="1"/>
  <c r="BC38" i="32"/>
  <c r="BD38" i="32" s="1"/>
  <c r="BE38" i="32" s="1"/>
  <c r="BF38" i="32" s="1"/>
  <c r="BA39" i="32"/>
  <c r="BB39" i="32" s="1"/>
  <c r="BN36" i="32"/>
  <c r="BL36" i="32"/>
  <c r="D34" i="34" l="1"/>
  <c r="BW32" i="34"/>
  <c r="BV32" i="34"/>
  <c r="AX33" i="34"/>
  <c r="BT33" i="34"/>
  <c r="BI38" i="32"/>
  <c r="BP38" i="32"/>
  <c r="BL37" i="32"/>
  <c r="BM37" i="32"/>
  <c r="BJ38" i="32"/>
  <c r="BK38" i="32"/>
  <c r="BH38" i="32"/>
  <c r="BN37" i="32"/>
  <c r="BC39" i="32"/>
  <c r="BD39" i="32" s="1"/>
  <c r="BE39" i="32" s="1"/>
  <c r="BF39" i="32" s="1"/>
  <c r="BP39" i="32" s="1"/>
  <c r="BA40" i="32"/>
  <c r="BB40" i="32" s="1"/>
  <c r="B42" i="32"/>
  <c r="C42" i="32" s="1"/>
  <c r="D41" i="32"/>
  <c r="AZ41" i="32" s="1"/>
  <c r="AX34" i="34" l="1"/>
  <c r="BT34" i="34"/>
  <c r="BV33" i="34"/>
  <c r="BW33" i="34"/>
  <c r="D35" i="34"/>
  <c r="BN38" i="32"/>
  <c r="BM38" i="32"/>
  <c r="BL38" i="32"/>
  <c r="BD41" i="32"/>
  <c r="BE41" i="32" s="1"/>
  <c r="BF41" i="32" s="1"/>
  <c r="BP41" i="32" s="1"/>
  <c r="BA41" i="32"/>
  <c r="BB41" i="32" s="1"/>
  <c r="B43" i="32"/>
  <c r="C43" i="32" s="1"/>
  <c r="D42" i="32"/>
  <c r="AZ42" i="32" s="1"/>
  <c r="BI39" i="32"/>
  <c r="BH39" i="32"/>
  <c r="BK39" i="32"/>
  <c r="BJ39" i="32"/>
  <c r="BC40" i="32"/>
  <c r="BD40" i="32" s="1"/>
  <c r="BE40" i="32" s="1"/>
  <c r="BF40" i="32" s="1"/>
  <c r="BP40" i="32" s="1"/>
  <c r="D36" i="34" l="1"/>
  <c r="AX35" i="34"/>
  <c r="BT35" i="34"/>
  <c r="BV34" i="34"/>
  <c r="BW34" i="34"/>
  <c r="BM39" i="32"/>
  <c r="BK40" i="32"/>
  <c r="BJ40" i="32"/>
  <c r="BI40" i="32"/>
  <c r="BH40" i="32"/>
  <c r="BI41" i="32"/>
  <c r="BH41" i="32"/>
  <c r="BK41" i="32"/>
  <c r="BJ41" i="32"/>
  <c r="BB42" i="32"/>
  <c r="BA42" i="32"/>
  <c r="BC41" i="32"/>
  <c r="BL39" i="32"/>
  <c r="BN39" i="32"/>
  <c r="B44" i="32"/>
  <c r="C44" i="32" s="1"/>
  <c r="D43" i="32"/>
  <c r="AZ43" i="32" s="1"/>
  <c r="BW35" i="34" l="1"/>
  <c r="BV35" i="34"/>
  <c r="D37" i="34"/>
  <c r="AX36" i="34"/>
  <c r="BT36" i="34"/>
  <c r="BM40" i="32"/>
  <c r="BC42" i="32"/>
  <c r="BD42" i="32" s="1"/>
  <c r="BE42" i="32" s="1"/>
  <c r="BF42" i="32" s="1"/>
  <c r="BM41" i="32"/>
  <c r="D44" i="32"/>
  <c r="AZ44" i="32" s="1"/>
  <c r="B45" i="32"/>
  <c r="C45" i="32" s="1"/>
  <c r="BL41" i="32"/>
  <c r="BN41" i="32"/>
  <c r="BD43" i="32"/>
  <c r="BE43" i="32" s="1"/>
  <c r="BA43" i="32"/>
  <c r="BB43" i="32" s="1"/>
  <c r="BN40" i="32"/>
  <c r="BL40" i="32"/>
  <c r="BW36" i="34" l="1"/>
  <c r="BV36" i="34"/>
  <c r="AX37" i="34"/>
  <c r="BT37" i="34"/>
  <c r="D38" i="34"/>
  <c r="BK42" i="32"/>
  <c r="BP42" i="32"/>
  <c r="BC43" i="32"/>
  <c r="BI42" i="32"/>
  <c r="BA44" i="32"/>
  <c r="BB44" i="32" s="1"/>
  <c r="BH42" i="32"/>
  <c r="BJ42" i="32"/>
  <c r="B46" i="32"/>
  <c r="C46" i="32" s="1"/>
  <c r="D45" i="32"/>
  <c r="AZ45" i="32" s="1"/>
  <c r="BF43" i="32"/>
  <c r="AX38" i="34" l="1"/>
  <c r="BT38" i="34"/>
  <c r="D39" i="34"/>
  <c r="BW37" i="34"/>
  <c r="BV37" i="34"/>
  <c r="BK43" i="32"/>
  <c r="BP43" i="32"/>
  <c r="BM42" i="32"/>
  <c r="BL42" i="32"/>
  <c r="BC44" i="32"/>
  <c r="BD44" i="32" s="1"/>
  <c r="BE44" i="32" s="1"/>
  <c r="BF44" i="32" s="1"/>
  <c r="BN42" i="32"/>
  <c r="BA45" i="32"/>
  <c r="BB45" i="32" s="1"/>
  <c r="BJ43" i="32"/>
  <c r="BI43" i="32"/>
  <c r="D46" i="32"/>
  <c r="AZ46" i="32" s="1"/>
  <c r="BH43" i="32"/>
  <c r="D40" i="34" l="1"/>
  <c r="BT40" i="34" s="1"/>
  <c r="BV40" i="34" s="1"/>
  <c r="AX39" i="34"/>
  <c r="BT39" i="34"/>
  <c r="BW38" i="34"/>
  <c r="BV38" i="34"/>
  <c r="BM43" i="32"/>
  <c r="BI44" i="32"/>
  <c r="BP44" i="32"/>
  <c r="BH44" i="32"/>
  <c r="BJ44" i="32"/>
  <c r="BK44" i="32"/>
  <c r="BN43" i="32"/>
  <c r="BC45" i="32"/>
  <c r="BD45" i="32" s="1"/>
  <c r="BL43" i="32"/>
  <c r="BA46" i="32"/>
  <c r="BB46" i="32" s="1"/>
  <c r="D41" i="34" l="1"/>
  <c r="BT41" i="34" s="1"/>
  <c r="BW39" i="34"/>
  <c r="BV39" i="34"/>
  <c r="AX40" i="34"/>
  <c r="BQ40" i="34"/>
  <c r="BQ46" i="34" s="1"/>
  <c r="BL44" i="32"/>
  <c r="BE45" i="32"/>
  <c r="BF45" i="32" s="1"/>
  <c r="BP45" i="32" s="1"/>
  <c r="BM44" i="32"/>
  <c r="BN44" i="32"/>
  <c r="BC46" i="32"/>
  <c r="BD46" i="32" s="1"/>
  <c r="BE46" i="32" s="1"/>
  <c r="BF46" i="32" s="1"/>
  <c r="BP46" i="32" s="1"/>
  <c r="AX41" i="34" l="1"/>
  <c r="D42" i="34"/>
  <c r="BW40" i="34"/>
  <c r="BU40" i="34"/>
  <c r="BU46" i="34" s="1"/>
  <c r="BW41" i="34"/>
  <c r="BV41" i="34"/>
  <c r="BI45" i="32"/>
  <c r="BK45" i="32"/>
  <c r="BJ45" i="32"/>
  <c r="BH45" i="32"/>
  <c r="BK46" i="32"/>
  <c r="BJ46" i="32"/>
  <c r="BH46" i="32"/>
  <c r="BI46" i="32"/>
  <c r="AX42" i="34" l="1"/>
  <c r="BT42" i="34"/>
  <c r="D43" i="34"/>
  <c r="BL45" i="32"/>
  <c r="BN45" i="32"/>
  <c r="BM45" i="32"/>
  <c r="BN46" i="32"/>
  <c r="BL46" i="32"/>
  <c r="BM46" i="32"/>
  <c r="D44" i="34" l="1"/>
  <c r="AX43" i="34"/>
  <c r="BT43" i="34"/>
  <c r="BV42" i="34"/>
  <c r="BW42" i="34"/>
  <c r="AX44" i="34" l="1"/>
  <c r="BT44" i="34"/>
  <c r="BV43" i="34"/>
  <c r="BW43" i="34"/>
  <c r="D45" i="34"/>
  <c r="AX45" i="34" l="1"/>
  <c r="BT45" i="34"/>
  <c r="BV44" i="34"/>
  <c r="BW44" i="34"/>
  <c r="BW45" i="34" l="1"/>
  <c r="BV45" i="34"/>
  <c r="BT46" i="34" l="1"/>
  <c r="BV46" i="34"/>
  <c r="BW49" i="34" l="1"/>
  <c r="M12" i="33" s="1"/>
  <c r="BU50" i="34" l="1"/>
  <c r="BK50" i="32" l="1"/>
  <c r="W12" i="33" s="1"/>
  <c r="W85" i="33" s="1"/>
  <c r="V86" i="33" s="1"/>
  <c r="BI50" i="32"/>
  <c r="BM50" i="32" l="1"/>
  <c r="BJ50" i="32"/>
  <c r="V12" i="33"/>
  <c r="BL50" i="32"/>
  <c r="BH50" i="32"/>
  <c r="S12" i="33"/>
  <c r="R12" i="33" l="1"/>
  <c r="BN53" i="32"/>
  <c r="U12" i="33"/>
  <c r="T12" i="33" l="1"/>
  <c r="Z12" i="33" s="1"/>
  <c r="U35" i="33" l="1"/>
  <c r="Q35" i="33"/>
  <c r="S35" i="33"/>
  <c r="P35" i="33" l="1"/>
  <c r="Q85" i="33"/>
  <c r="P86" i="33" s="1"/>
  <c r="R35" i="33"/>
  <c r="S85" i="33"/>
  <c r="T35" i="33"/>
  <c r="U85" i="33"/>
  <c r="T86" i="33" s="1"/>
  <c r="Q110" i="33" l="1"/>
  <c r="R90" i="33"/>
  <c r="U110" i="33"/>
  <c r="W110" i="33" s="1"/>
  <c r="R86" i="33"/>
  <c r="Q109" i="33" s="1"/>
  <c r="Q113" i="33" s="1"/>
  <c r="Z35" i="33"/>
  <c r="R89" i="33" l="1"/>
  <c r="H86" i="33"/>
  <c r="J35" i="33"/>
  <c r="K35" i="33" s="1"/>
  <c r="K85" i="33" s="1"/>
  <c r="K98" i="33" s="1"/>
</calcChain>
</file>

<file path=xl/sharedStrings.xml><?xml version="1.0" encoding="utf-8"?>
<sst xmlns="http://schemas.openxmlformats.org/spreadsheetml/2006/main" count="1212" uniqueCount="371">
  <si>
    <t>KEMENTERIAN PEKERJAAN UMUM</t>
  </si>
  <si>
    <t>DIREKTORAT  JENDERAL  BINA  MARGA</t>
  </si>
  <si>
    <t xml:space="preserve"> </t>
  </si>
  <si>
    <t>FORMULIR   SURVEI   RCI   SECARA   VISUAL</t>
  </si>
  <si>
    <t>RUAS  JALAN</t>
  </si>
  <si>
    <t>T A N G G A L</t>
  </si>
  <si>
    <t>NAMA    :</t>
  </si>
  <si>
    <t>NOMOR :</t>
  </si>
  <si>
    <t>TGL</t>
  </si>
  <si>
    <t>BULAN</t>
  </si>
  <si>
    <t>TAHUN</t>
  </si>
  <si>
    <t>KENDARAAN</t>
  </si>
  <si>
    <t>PENGEMUDI</t>
  </si>
  <si>
    <t xml:space="preserve">TYPE    </t>
  </si>
  <si>
    <t>NO.</t>
  </si>
  <si>
    <t>N A M A</t>
  </si>
  <si>
    <t>NAMA  :   ............................</t>
  </si>
  <si>
    <t>MERK</t>
  </si>
  <si>
    <t>MODEL</t>
  </si>
  <si>
    <t>NO. POL.</t>
  </si>
  <si>
    <t>TITIK  AWAL</t>
  </si>
  <si>
    <t>(*)</t>
  </si>
  <si>
    <t>KOTA ASAL</t>
  </si>
  <si>
    <t>PATOK</t>
  </si>
  <si>
    <t>PEMBACAAN ODOMETER</t>
  </si>
  <si>
    <t>WAKTU</t>
  </si>
  <si>
    <t>JAM</t>
  </si>
  <si>
    <t>MENIT</t>
  </si>
  <si>
    <t>TITIK  AKHIR</t>
  </si>
  <si>
    <t>R C I</t>
  </si>
  <si>
    <t>RCI  :  Roughness  Condition  Index</t>
  </si>
  <si>
    <t>KECAMATAN</t>
  </si>
  <si>
    <t>SURVEYOR</t>
  </si>
  <si>
    <t>PATOK STA (*)</t>
  </si>
  <si>
    <t>RATA-RATA</t>
  </si>
  <si>
    <t>PATOK  STA    (*)</t>
  </si>
  <si>
    <t>PEMBACAAN ODOMETER / KM (*)</t>
  </si>
  <si>
    <t>NAMA RUAS</t>
  </si>
  <si>
    <t>IRI</t>
  </si>
  <si>
    <t>PATOK KM</t>
  </si>
  <si>
    <t>PANJANG (M)</t>
  </si>
  <si>
    <t>KEMANTAPAN</t>
  </si>
  <si>
    <t>(METER)</t>
  </si>
  <si>
    <t>JENIS PENANGANAN</t>
  </si>
  <si>
    <t>DARI</t>
  </si>
  <si>
    <t>KE</t>
  </si>
  <si>
    <t>BAIK</t>
  </si>
  <si>
    <t>SEDANG</t>
  </si>
  <si>
    <t>RUSAK RINGAN</t>
  </si>
  <si>
    <t>RUSAK BERAT</t>
  </si>
  <si>
    <t>MANTAP</t>
  </si>
  <si>
    <t>TIDAK MANTAP</t>
  </si>
  <si>
    <t>&lt; IRI vs SDI &gt;</t>
  </si>
  <si>
    <t>RR</t>
  </si>
  <si>
    <t>RB</t>
  </si>
  <si>
    <t>B</t>
  </si>
  <si>
    <t>S</t>
  </si>
  <si>
    <t>TDK MNTP</t>
  </si>
  <si>
    <t>TOTAL PANJANG</t>
  </si>
  <si>
    <t>KABUPATEN</t>
  </si>
  <si>
    <t>NO.RUAS</t>
  </si>
  <si>
    <t>INPUT BERDASARKAN FORM SKJ 2-1</t>
  </si>
  <si>
    <t>PERMUKAAN PERKERASAN</t>
  </si>
  <si>
    <t>RETAK-RETAK</t>
  </si>
  <si>
    <t>KERUSAKAN LAIN</t>
  </si>
  <si>
    <t>KONDISI SALURAN SAMPING DAN LAIN-LAIN</t>
  </si>
  <si>
    <t>BANTU</t>
  </si>
  <si>
    <t>INPUT  NILAI  IRI</t>
  </si>
  <si>
    <t>CEK STATUS ENTRY</t>
  </si>
  <si>
    <t>PERHITUNGAN NILAI SDI</t>
  </si>
  <si>
    <t>NILAI   SDI</t>
  </si>
  <si>
    <t>PANJANG KONDISI &lt; IRI vs SDI &gt;</t>
  </si>
  <si>
    <t>Susunan</t>
  </si>
  <si>
    <t>Kondisi / Keadaan</t>
  </si>
  <si>
    <t>% Penurunan</t>
  </si>
  <si>
    <t>% Tambalan</t>
  </si>
  <si>
    <t>Jenis</t>
  </si>
  <si>
    <t>Lebar</t>
  </si>
  <si>
    <t>% Luas</t>
  </si>
  <si>
    <t>Jumlah Lubang</t>
  </si>
  <si>
    <t>Ukuran Lubang</t>
  </si>
  <si>
    <t>Bekas Roda</t>
  </si>
  <si>
    <t>Kerusakan Tepi</t>
  </si>
  <si>
    <t>Kondisi Bahu</t>
  </si>
  <si>
    <t>Permukaan Bahu</t>
  </si>
  <si>
    <t>Kondisi Saluran Samping</t>
  </si>
  <si>
    <t>Kerusakan Lereng</t>
  </si>
  <si>
    <t>Trotoar</t>
  </si>
  <si>
    <t>PENGECEKKAN KOLOM ENTRI DATA SKJ BILA TIDAK SESUAI ATAU DIISI DENGAN SELAIN ANGKA</t>
  </si>
  <si>
    <t>RETAK LUAS</t>
  </si>
  <si>
    <t>RETAK LEBAR</t>
  </si>
  <si>
    <t>JUMLAH LUBANG</t>
  </si>
  <si>
    <t>BEKAS RODA</t>
  </si>
  <si>
    <t>Kanan</t>
  </si>
  <si>
    <t>Kiri</t>
  </si>
  <si>
    <t>(1-2)</t>
  </si>
  <si>
    <t>(1-4)</t>
  </si>
  <si>
    <t>(1-5)</t>
  </si>
  <si>
    <t>(1-3)</t>
  </si>
  <si>
    <t>KONDISI</t>
  </si>
  <si>
    <t>KODE</t>
  </si>
  <si>
    <t>TIPE</t>
  </si>
  <si>
    <t>LEBAR</t>
  </si>
  <si>
    <t>LEBAR BAHU</t>
  </si>
  <si>
    <t>SIRING/TALUD</t>
  </si>
  <si>
    <t>B : BAIK</t>
  </si>
  <si>
    <r>
      <rPr>
        <b/>
        <sz val="8"/>
        <rFont val="Arial"/>
        <family val="2"/>
      </rPr>
      <t>A :</t>
    </r>
    <r>
      <rPr>
        <sz val="8"/>
        <rFont val="Arial"/>
        <family val="2"/>
      </rPr>
      <t xml:space="preserve"> ASPAL</t>
    </r>
  </si>
  <si>
    <t>(m)</t>
  </si>
  <si>
    <t>KANAN</t>
  </si>
  <si>
    <t>KIRI</t>
  </si>
  <si>
    <t>S : SEDANG</t>
  </si>
  <si>
    <r>
      <rPr>
        <b/>
        <sz val="8"/>
        <rFont val="Arial"/>
        <family val="2"/>
      </rPr>
      <t xml:space="preserve">B </t>
    </r>
    <r>
      <rPr>
        <sz val="8"/>
        <rFont val="Arial"/>
        <family val="2"/>
      </rPr>
      <t>: BETON</t>
    </r>
  </si>
  <si>
    <t>DIMENSI</t>
  </si>
  <si>
    <t>JENIS</t>
  </si>
  <si>
    <t>RR : RUSAK RINGAN</t>
  </si>
  <si>
    <r>
      <rPr>
        <b/>
        <sz val="8"/>
        <rFont val="Arial"/>
        <family val="2"/>
      </rPr>
      <t>K</t>
    </r>
    <r>
      <rPr>
        <sz val="8"/>
        <rFont val="Arial"/>
        <family val="2"/>
      </rPr>
      <t xml:space="preserve"> : KERIKIL</t>
    </r>
  </si>
  <si>
    <t>RB : RUSAK BERAT</t>
  </si>
  <si>
    <r>
      <rPr>
        <b/>
        <sz val="8"/>
        <rFont val="Arial"/>
        <family val="2"/>
      </rPr>
      <t xml:space="preserve">T </t>
    </r>
    <r>
      <rPr>
        <sz val="8"/>
        <rFont val="Arial"/>
        <family val="2"/>
      </rPr>
      <t>: TANAH</t>
    </r>
  </si>
  <si>
    <t>L x T</t>
  </si>
  <si>
    <t>A</t>
  </si>
  <si>
    <t>1.1*.</t>
  </si>
  <si>
    <t>PS</t>
  </si>
  <si>
    <t>1.1*1</t>
  </si>
  <si>
    <t>0.6*0.6</t>
  </si>
  <si>
    <t>0.6*0.5</t>
  </si>
  <si>
    <t>Provinsi</t>
  </si>
  <si>
    <t>Kabupaten</t>
  </si>
  <si>
    <t>Tahun</t>
  </si>
  <si>
    <t>Form DD-1</t>
  </si>
  <si>
    <t>Panjang Tiap Jenis Permukaan ( % )</t>
  </si>
  <si>
    <t>Panjang Tiap Kondisi ( % )</t>
  </si>
  <si>
    <t>Nomor</t>
  </si>
  <si>
    <t>Nama Ruas Jalan</t>
  </si>
  <si>
    <t>Kecamatan</t>
  </si>
  <si>
    <t>Panjang</t>
  </si>
  <si>
    <t>Aspal /</t>
  </si>
  <si>
    <t>Telford /</t>
  </si>
  <si>
    <t>Tanah</t>
  </si>
  <si>
    <t>Baik</t>
  </si>
  <si>
    <t>Sedang</t>
  </si>
  <si>
    <t>Rusak Ringan</t>
  </si>
  <si>
    <t>Rusak  Berat</t>
  </si>
  <si>
    <t>LHR</t>
  </si>
  <si>
    <t>Akses</t>
  </si>
  <si>
    <t>Ket.</t>
  </si>
  <si>
    <t>Ruas</t>
  </si>
  <si>
    <t>yang dilalui</t>
  </si>
  <si>
    <t>( M )</t>
  </si>
  <si>
    <t>Penetrasi</t>
  </si>
  <si>
    <t>RIGID/</t>
  </si>
  <si>
    <t>Kerikil</t>
  </si>
  <si>
    <t>/ belum</t>
  </si>
  <si>
    <t>Rerata</t>
  </si>
  <si>
    <t>Ke Jalan</t>
  </si>
  <si>
    <t>JENIS PERKERASAN</t>
  </si>
  <si>
    <t>KONDISI PERKERASAN</t>
  </si>
  <si>
    <t>( km)</t>
  </si>
  <si>
    <t>Macadam</t>
  </si>
  <si>
    <t>BETON</t>
  </si>
  <si>
    <t>Tembus</t>
  </si>
  <si>
    <t>%</t>
  </si>
  <si>
    <t>Km</t>
  </si>
  <si>
    <t>N/P/K</t>
  </si>
  <si>
    <t>JALAN</t>
  </si>
  <si>
    <t>RIGID</t>
  </si>
  <si>
    <t>ASPAL</t>
  </si>
  <si>
    <t>BATU</t>
  </si>
  <si>
    <t>TANAH</t>
  </si>
  <si>
    <t>-</t>
  </si>
  <si>
    <t>K</t>
  </si>
  <si>
    <t>INPUT BERDASARKAN FORM SKJ 2-2</t>
  </si>
  <si>
    <t>RCI</t>
  </si>
  <si>
    <t>PERHITUNGAN NILAI RCI PER 200M</t>
  </si>
  <si>
    <t>KERIKIL / BATU</t>
  </si>
  <si>
    <t>INPUT  NILAI  RCI</t>
  </si>
  <si>
    <t>PANJANG KONDISI &lt; RCI vs SDI &gt;</t>
  </si>
  <si>
    <t>Kemiringan/Melintang</t>
  </si>
  <si>
    <t>Erosi Permukaan</t>
  </si>
  <si>
    <t>Ukuran Terbanyak</t>
  </si>
  <si>
    <t>Tebal Lapisan</t>
  </si>
  <si>
    <t>Distribusi</t>
  </si>
  <si>
    <t>Bergelombang</t>
  </si>
  <si>
    <t>Dokumentasi</t>
  </si>
  <si>
    <t>NILAI RCI</t>
  </si>
  <si>
    <t>Panjang Perkerasan</t>
  </si>
  <si>
    <t>T</t>
  </si>
  <si>
    <t>Dery S,S.T</t>
  </si>
  <si>
    <t xml:space="preserve">Fredy </t>
  </si>
  <si>
    <t>Aris Prasetya</t>
  </si>
  <si>
    <t>Ervan Nufrandi</t>
  </si>
  <si>
    <t>N</t>
  </si>
  <si>
    <t>xxxxx</t>
  </si>
  <si>
    <t>xxxx</t>
  </si>
  <si>
    <t>SUMBA BARAT</t>
  </si>
  <si>
    <t>002</t>
  </si>
  <si>
    <t>Kalimbukuni - Lahi Kaninu</t>
  </si>
  <si>
    <t>: NUSA TENGGARA TIMUR</t>
  </si>
  <si>
    <t>: SUMBA BARAT</t>
  </si>
  <si>
    <t>Dalam Kota Waikabubak</t>
  </si>
  <si>
    <t>Lapale - Praigaga II</t>
  </si>
  <si>
    <t>Kalimbukuni - Togoletena</t>
  </si>
  <si>
    <t>Tebara - Lete Kamugila</t>
  </si>
  <si>
    <t>Galimara - Gollu Lowo</t>
  </si>
  <si>
    <t>Gollu Wino - Ida Bonu</t>
  </si>
  <si>
    <t>Bali Kalebu - Praigaga II</t>
  </si>
  <si>
    <t>Puu Rita - Watu Kaboko</t>
  </si>
  <si>
    <t>Gollu Uwe - Sobarade</t>
  </si>
  <si>
    <t>Gollu Pedi - Kotakawatu</t>
  </si>
  <si>
    <t>Paledi - Daduka</t>
  </si>
  <si>
    <t>Puuweri - Gollu Kei</t>
  </si>
  <si>
    <t>Ponu Ngaba (Relly TVRI) - Wanokasa</t>
  </si>
  <si>
    <t>Puu Naga - Mata Piawu</t>
  </si>
  <si>
    <t>Palangata - Lokoduka</t>
  </si>
  <si>
    <t>Sobawawi - Weekarou</t>
  </si>
  <si>
    <t>Tawiana - Ngadu Loda</t>
  </si>
  <si>
    <t>Kurutepe - Matakaito</t>
  </si>
  <si>
    <t>Gollu Loloka - Lomana Padaka</t>
  </si>
  <si>
    <t>Gollu Loloka - Sobarade</t>
  </si>
  <si>
    <t>Kabata Lokona - Karara</t>
  </si>
  <si>
    <t>Dokakaka - Baliledo</t>
  </si>
  <si>
    <t>Dokakaka - Tarobo</t>
  </si>
  <si>
    <t>Weekabete - Tabera</t>
  </si>
  <si>
    <t>Palaka Wewewa - Baliledo</t>
  </si>
  <si>
    <t>Weekarou - Sodana</t>
  </si>
  <si>
    <t>Kalebu Jaga - BTN</t>
  </si>
  <si>
    <t>Kalebu Jaga - Manuawawi</t>
  </si>
  <si>
    <t>Bondo Tera - Kuru Tepe</t>
  </si>
  <si>
    <t>Keretana - BTN</t>
  </si>
  <si>
    <t>Gollu Mareda - Labariri</t>
  </si>
  <si>
    <t>Puurota - Labariri</t>
  </si>
  <si>
    <t>Tamalijak - Labariri</t>
  </si>
  <si>
    <t>Mata Wee Pasaingo - Pangadu Rade</t>
  </si>
  <si>
    <t>Lahihuruk - Lahi Kaninu</t>
  </si>
  <si>
    <t>Lahi Huruk - Praikareri</t>
  </si>
  <si>
    <t>Lahi Huruk - Pogu Katoda</t>
  </si>
  <si>
    <t>Katikuloku - Hobajangi</t>
  </si>
  <si>
    <t>Hupumada - Lahona</t>
  </si>
  <si>
    <t>Manuwolu - Praikarara</t>
  </si>
  <si>
    <t>Kabba - Kapata</t>
  </si>
  <si>
    <t>Mamodu - Paholla</t>
  </si>
  <si>
    <t>Prairuata - Praipaleti</t>
  </si>
  <si>
    <t>Mahu - Medda</t>
  </si>
  <si>
    <t>Padedewatu - Rua</t>
  </si>
  <si>
    <t>Wanukaka - Rua</t>
  </si>
  <si>
    <t>Rua - Hobawawi</t>
  </si>
  <si>
    <t>Padedewatu _ Ngihi Watu</t>
  </si>
  <si>
    <t>Tanamali - Ngadu Ngape</t>
  </si>
  <si>
    <t>Kabukarudi - Ngadu Loda</t>
  </si>
  <si>
    <t>Ngadu Loda - Subaka</t>
  </si>
  <si>
    <t>Weekarou - Weetena</t>
  </si>
  <si>
    <t>Kabukarudi - Hangkapu</t>
  </si>
  <si>
    <t>Simpang Patiala - Marosi</t>
  </si>
  <si>
    <t>Simpang Ngihi Watu - Palamoko</t>
  </si>
  <si>
    <t>Rajaka - Tailelu</t>
  </si>
  <si>
    <t>Kadenger - Palamoko</t>
  </si>
  <si>
    <t>Panoka - Mambang</t>
  </si>
  <si>
    <t>Pegarrewa - Ngedo</t>
  </si>
  <si>
    <t>Gaura - Rita</t>
  </si>
  <si>
    <t>Hobatete - Tanjung Pasola Gaura</t>
  </si>
  <si>
    <t>Waibangga - Ombakareke</t>
  </si>
  <si>
    <t>Ombakareke - Lokory</t>
  </si>
  <si>
    <t>Kareka Nduku - Wanokaza</t>
  </si>
  <si>
    <t>Malata - Loko Kalada</t>
  </si>
  <si>
    <t>Malata - Ngadu Pada</t>
  </si>
  <si>
    <t>Ngadu Pada - Manukuku</t>
  </si>
  <si>
    <t>Malata - Bondo Boghila</t>
  </si>
  <si>
    <t>Weepatola - Lokory</t>
  </si>
  <si>
    <t>Weepatola - Wee Tame</t>
  </si>
  <si>
    <t>Zalakadu - Manukuku</t>
  </si>
  <si>
    <t>Lolowano - Wee Tame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</si>
  <si>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</si>
  <si>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</si>
  <si>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</si>
  <si>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</si>
  <si>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</si>
  <si>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</si>
  <si>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</si>
  <si>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</si>
  <si>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</si>
  <si>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</si>
  <si>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</si>
  <si>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</si>
  <si>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</si>
  <si>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</si>
  <si>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</si>
  <si>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</si>
  <si>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</si>
  <si>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</si>
  <si>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</si>
  <si>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</si>
  <si>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</si>
  <si>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</si>
  <si>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</si>
  <si>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</si>
  <si>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</si>
  <si>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</si>
  <si>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</si>
  <si>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</si>
  <si>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</si>
  <si>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</si>
  <si>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</si>
  <si>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</si>
  <si>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</si>
  <si>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</si>
  <si>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</si>
  <si>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</si>
  <si>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</si>
  <si>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</si>
  <si>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</si>
  <si>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</si>
  <si>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</si>
  <si>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</si>
  <si>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</si>
  <si>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</si>
  <si>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</si>
  <si>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</si>
  <si>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</si>
  <si>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</si>
  <si>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</si>
  <si>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</si>
  <si>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</si>
  <si>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</si>
  <si>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</si>
  <si>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</si>
  <si>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</si>
  <si>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</si>
  <si>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</si>
  <si>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</si>
  <si>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</si>
  <si>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</si>
  <si>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</si>
  <si>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</si>
  <si>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</si>
  <si>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</si>
  <si>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</si>
  <si>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</si>
  <si>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</si>
  <si>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</si>
  <si>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</si>
  <si>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</si>
  <si>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</si>
  <si>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</si>
  <si>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</si>
  <si>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Kota Waikabubak, Loli</t>
  </si>
  <si>
    <t>Kota Waikabubak, Wanokaka</t>
  </si>
  <si>
    <t>Kota Waikabubak</t>
  </si>
  <si>
    <t>Loli</t>
  </si>
  <si>
    <t>Lamboya, Loli</t>
  </si>
  <si>
    <t>Wanokaka</t>
  </si>
  <si>
    <t>Lamboya, Wanokaka</t>
  </si>
  <si>
    <t>Lamboya</t>
  </si>
  <si>
    <t>Laboya Barat, Lamboya</t>
  </si>
  <si>
    <t>Laboya Barat</t>
  </si>
  <si>
    <t>Tana Righu</t>
  </si>
  <si>
    <t>DATA DASAR PRASARANA JALAN KABUPATEN SUMBA BARAT</t>
  </si>
  <si>
    <t>: 2020</t>
  </si>
  <si>
    <t>MANTAP 2019</t>
  </si>
  <si>
    <t>:</t>
  </si>
  <si>
    <t>P</t>
  </si>
  <si>
    <t>mantap</t>
  </si>
  <si>
    <t>A. Total Panjang Jalan (KM)</t>
  </si>
  <si>
    <t>B. Presentase Jalan (%)</t>
  </si>
  <si>
    <t xml:space="preserve">Dinas Pekerjaan Umum dan Penataan Ruang </t>
  </si>
  <si>
    <t>Kabupaten Sumba Barat</t>
  </si>
  <si>
    <t>KINERJA 2020</t>
  </si>
  <si>
    <t>Kepala Dinas</t>
  </si>
  <si>
    <t>Ir. Fredrik Gah</t>
  </si>
  <si>
    <t>Nip: 19650216 199403 1 004</t>
  </si>
  <si>
    <t>Mantap :</t>
  </si>
  <si>
    <t>Tidak Mantap :</t>
  </si>
  <si>
    <t xml:space="preserve">Kondisi Kemantapan Jalan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</si>
</sst>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\ \+\ 000"/>
    <numFmt numFmtId="167" formatCode="0\+000"/>
    <numFmt numFmtId="168" formatCode="000"/>
    <numFmt numFmtId="169" formatCode="_-* #,##0_-;\-* #,##0_-;_-* &quot;-&quot;??_-;_-@_-"/>
    <numFmt numFmtId="170" formatCode="_-* #,##0.0000_-;\-* #,##0.0000_-;_-* &quot;-&quot;??_-;_-@_-"/>
    <numFmt numFmtId="171" formatCode="_(* #,##0_);_(* \(#,##0\);_(* &quot;-&quot;??_);_(@_)"/>
    <numFmt numFmtId="172" formatCode="_-* #,##0.00_-;\-* #,##0.00_-;_-* &quot;-&quot;_-;_-@_-"/>
  </numFmts>
  <fonts count="38" x14ac:knownFonts="1">
    <font>
      <sz val="10"/>
      <name val="MS Sans Serif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vertAlign val="superscript"/>
      <sz val="10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i/>
      <sz val="8"/>
      <name val="Arial"/>
      <family val="2"/>
    </font>
    <font>
      <b/>
      <sz val="7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 Narrow"/>
      <family val="2"/>
    </font>
    <font>
      <b/>
      <sz val="2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MS Sans Serif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6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0"/>
      <name val="Arial Narrow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1"/>
      <name val="MS Sans Serif"/>
      <family val="2"/>
    </font>
    <font>
      <b/>
      <i/>
      <sz val="11"/>
      <name val="Arial"/>
      <family val="2"/>
    </font>
    <font>
      <sz val="10"/>
      <name val="MS Sans Serif"/>
      <family val="2"/>
    </font>
    <font>
      <b/>
      <u/>
      <sz val="10"/>
      <name val="Arial Narrow"/>
      <family val="2"/>
    </font>
    <font>
      <sz val="11"/>
      <name val="Arial Narrow"/>
      <family val="2"/>
    </font>
    <font>
      <b/>
      <sz val="10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7" fillId="0" borderId="0"/>
    <xf numFmtId="9" fontId="16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0" borderId="0"/>
    <xf numFmtId="0" fontId="28" fillId="0" borderId="0" applyFont="0" applyFill="0" applyBorder="0" applyAlignment="0" applyProtection="0"/>
    <xf numFmtId="164" fontId="34" fillId="0" borderId="0" applyFont="0" applyFill="0" applyBorder="0" applyAlignment="0" applyProtection="0"/>
  </cellStyleXfs>
  <cellXfs count="7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3" fillId="0" borderId="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/>
    <xf numFmtId="0" fontId="3" fillId="0" borderId="0" xfId="0" applyFont="1" applyFill="1" applyBorder="1"/>
    <xf numFmtId="0" fontId="3" fillId="0" borderId="12" xfId="0" applyFont="1" applyFill="1" applyBorder="1"/>
    <xf numFmtId="0" fontId="3" fillId="0" borderId="10" xfId="0" applyFont="1" applyFill="1" applyBorder="1"/>
    <xf numFmtId="0" fontId="2" fillId="0" borderId="0" xfId="0" applyFont="1" applyFill="1" applyBorder="1"/>
    <xf numFmtId="0" fontId="3" fillId="0" borderId="11" xfId="0" applyFont="1" applyFill="1" applyBorder="1"/>
    <xf numFmtId="0" fontId="0" fillId="0" borderId="0" xfId="0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6" xfId="0" applyFont="1" applyFill="1" applyBorder="1" applyAlignment="1">
      <alignment horizontal="centerContinuous"/>
    </xf>
    <xf numFmtId="0" fontId="7" fillId="0" borderId="0" xfId="0" applyFont="1" applyFill="1" applyBorder="1"/>
    <xf numFmtId="0" fontId="2" fillId="0" borderId="0" xfId="0" applyFont="1" applyBorder="1"/>
    <xf numFmtId="0" fontId="2" fillId="0" borderId="11" xfId="0" applyFont="1" applyBorder="1"/>
    <xf numFmtId="0" fontId="7" fillId="0" borderId="0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0" xfId="0" applyFont="1"/>
    <xf numFmtId="0" fontId="5" fillId="0" borderId="2" xfId="0" applyFont="1" applyBorder="1"/>
    <xf numFmtId="0" fontId="3" fillId="0" borderId="0" xfId="0" applyFont="1" applyBorder="1" applyAlignment="1">
      <alignment horizontal="centerContinuous"/>
    </xf>
    <xf numFmtId="0" fontId="5" fillId="0" borderId="0" xfId="0" applyFont="1" applyBorder="1"/>
    <xf numFmtId="0" fontId="3" fillId="0" borderId="0" xfId="0" quotePrefix="1" applyFont="1"/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/>
    </xf>
    <xf numFmtId="0" fontId="10" fillId="0" borderId="0" xfId="1" applyFont="1" applyFill="1"/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0" fillId="0" borderId="0" xfId="1" applyFont="1" applyFill="1" applyBorder="1" applyAlignment="1"/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12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46" xfId="1" applyNumberFormat="1" applyFont="1" applyFill="1" applyBorder="1" applyAlignment="1">
      <alignment horizontal="center" vertical="center" wrapText="1"/>
    </xf>
    <xf numFmtId="0" fontId="10" fillId="0" borderId="58" xfId="1" applyNumberFormat="1" applyFont="1" applyFill="1" applyBorder="1" applyAlignment="1">
      <alignment horizontal="center" vertical="center" wrapText="1"/>
    </xf>
    <xf numFmtId="0" fontId="10" fillId="0" borderId="40" xfId="1" applyNumberFormat="1" applyFont="1" applyFill="1" applyBorder="1" applyAlignment="1">
      <alignment horizontal="center" vertical="center" wrapText="1"/>
    </xf>
    <xf numFmtId="0" fontId="10" fillId="0" borderId="59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center"/>
    </xf>
    <xf numFmtId="0" fontId="10" fillId="0" borderId="13" xfId="1" applyFont="1" applyFill="1" applyBorder="1" applyAlignment="1">
      <alignment vertical="center"/>
    </xf>
    <xf numFmtId="0" fontId="10" fillId="0" borderId="14" xfId="1" applyFont="1" applyFill="1" applyBorder="1" applyAlignment="1">
      <alignment vertical="center"/>
    </xf>
    <xf numFmtId="0" fontId="10" fillId="0" borderId="39" xfId="1" applyFont="1" applyFill="1" applyBorder="1" applyAlignment="1">
      <alignment vertical="center"/>
    </xf>
    <xf numFmtId="0" fontId="10" fillId="0" borderId="15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9" xfId="1" applyFont="1" applyFill="1" applyBorder="1"/>
    <xf numFmtId="0" fontId="10" fillId="0" borderId="14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24" xfId="1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0" fillId="0" borderId="0" xfId="0" applyAlignment="1">
      <alignment vertical="center"/>
    </xf>
    <xf numFmtId="0" fontId="10" fillId="0" borderId="12" xfId="1" applyFont="1" applyFill="1" applyBorder="1" applyAlignment="1">
      <alignment horizontal="left" vertical="center"/>
    </xf>
    <xf numFmtId="0" fontId="11" fillId="0" borderId="6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vertical="center"/>
    </xf>
    <xf numFmtId="0" fontId="9" fillId="0" borderId="48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vertical="center"/>
    </xf>
    <xf numFmtId="0" fontId="9" fillId="0" borderId="65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19" fillId="0" borderId="0" xfId="18" applyFont="1" applyFill="1"/>
    <xf numFmtId="0" fontId="19" fillId="0" borderId="0" xfId="18" applyFont="1"/>
    <xf numFmtId="0" fontId="21" fillId="0" borderId="0" xfId="18" applyFont="1" applyFill="1" applyBorder="1" applyAlignment="1">
      <alignment horizontal="center"/>
    </xf>
    <xf numFmtId="0" fontId="20" fillId="0" borderId="0" xfId="18" applyFont="1" applyFill="1" applyBorder="1" applyAlignment="1">
      <alignment horizontal="center"/>
    </xf>
    <xf numFmtId="0" fontId="19" fillId="0" borderId="0" xfId="18" applyFont="1" applyFill="1" applyBorder="1" applyAlignment="1">
      <alignment horizontal="left"/>
    </xf>
    <xf numFmtId="0" fontId="19" fillId="0" borderId="0" xfId="18" quotePrefix="1" applyFont="1" applyFill="1" applyBorder="1" applyAlignment="1">
      <alignment horizontal="left"/>
    </xf>
    <xf numFmtId="0" fontId="19" fillId="0" borderId="0" xfId="18" applyFont="1" applyFill="1" applyAlignment="1">
      <alignment horizontal="left"/>
    </xf>
    <xf numFmtId="0" fontId="19" fillId="0" borderId="0" xfId="18" quotePrefix="1" applyFont="1" applyFill="1" applyAlignment="1">
      <alignment horizontal="left"/>
    </xf>
    <xf numFmtId="41" fontId="19" fillId="0" borderId="0" xfId="19" applyFont="1" applyFill="1"/>
    <xf numFmtId="0" fontId="21" fillId="0" borderId="0" xfId="18" applyFont="1" applyFill="1"/>
    <xf numFmtId="43" fontId="21" fillId="0" borderId="0" xfId="18" applyNumberFormat="1" applyFont="1" applyFill="1"/>
    <xf numFmtId="0" fontId="19" fillId="0" borderId="0" xfId="18" applyFont="1" applyFill="1" applyBorder="1"/>
    <xf numFmtId="0" fontId="19" fillId="0" borderId="66" xfId="18" applyFont="1" applyFill="1" applyBorder="1"/>
    <xf numFmtId="0" fontId="19" fillId="0" borderId="67" xfId="18" applyFont="1" applyFill="1" applyBorder="1"/>
    <xf numFmtId="0" fontId="19" fillId="0" borderId="68" xfId="18" applyFont="1" applyFill="1" applyBorder="1"/>
    <xf numFmtId="0" fontId="19" fillId="0" borderId="69" xfId="18" applyFont="1" applyFill="1" applyBorder="1"/>
    <xf numFmtId="0" fontId="19" fillId="0" borderId="70" xfId="18" applyFont="1" applyFill="1" applyBorder="1"/>
    <xf numFmtId="0" fontId="19" fillId="0" borderId="67" xfId="18" applyFont="1" applyFill="1" applyBorder="1" applyAlignment="1">
      <alignment horizontal="center"/>
    </xf>
    <xf numFmtId="0" fontId="19" fillId="0" borderId="70" xfId="18" applyFont="1" applyFill="1" applyBorder="1" applyAlignment="1">
      <alignment horizontal="left"/>
    </xf>
    <xf numFmtId="0" fontId="19" fillId="0" borderId="67" xfId="18" applyFont="1" applyFill="1" applyBorder="1" applyAlignment="1">
      <alignment horizontal="left"/>
    </xf>
    <xf numFmtId="0" fontId="19" fillId="0" borderId="73" xfId="18" applyFont="1" applyFill="1" applyBorder="1" applyAlignment="1">
      <alignment horizontal="left"/>
    </xf>
    <xf numFmtId="43" fontId="19" fillId="0" borderId="0" xfId="18" applyNumberFormat="1" applyFont="1" applyFill="1"/>
    <xf numFmtId="43" fontId="19" fillId="0" borderId="0" xfId="18" applyNumberFormat="1" applyFont="1"/>
    <xf numFmtId="0" fontId="19" fillId="0" borderId="74" xfId="18" applyFont="1" applyFill="1" applyBorder="1" applyAlignment="1">
      <alignment horizontal="center"/>
    </xf>
    <xf numFmtId="0" fontId="19" fillId="0" borderId="53" xfId="18" applyFont="1" applyFill="1" applyBorder="1" applyAlignment="1">
      <alignment horizontal="center"/>
    </xf>
    <xf numFmtId="0" fontId="19" fillId="0" borderId="38" xfId="18" applyFont="1" applyFill="1" applyBorder="1" applyAlignment="1">
      <alignment horizontal="centerContinuous"/>
    </xf>
    <xf numFmtId="0" fontId="19" fillId="0" borderId="0" xfId="18" applyFont="1" applyFill="1" applyBorder="1" applyAlignment="1">
      <alignment horizontal="centerContinuous"/>
    </xf>
    <xf numFmtId="0" fontId="19" fillId="0" borderId="10" xfId="18" applyFont="1" applyFill="1" applyBorder="1" applyAlignment="1">
      <alignment horizontal="centerContinuous"/>
    </xf>
    <xf numFmtId="0" fontId="19" fillId="0" borderId="38" xfId="18" applyFont="1" applyFill="1" applyBorder="1" applyAlignment="1">
      <alignment horizontal="center"/>
    </xf>
    <xf numFmtId="0" fontId="19" fillId="0" borderId="10" xfId="18" applyFont="1" applyFill="1" applyBorder="1" applyAlignment="1">
      <alignment horizontal="center"/>
    </xf>
    <xf numFmtId="0" fontId="19" fillId="0" borderId="0" xfId="18" applyFont="1" applyFill="1" applyBorder="1" applyAlignment="1">
      <alignment horizontal="center"/>
    </xf>
    <xf numFmtId="0" fontId="19" fillId="0" borderId="77" xfId="18" applyFont="1" applyFill="1" applyBorder="1" applyAlignment="1">
      <alignment horizontal="center"/>
    </xf>
    <xf numFmtId="0" fontId="19" fillId="0" borderId="80" xfId="18" applyFont="1" applyFill="1" applyBorder="1"/>
    <xf numFmtId="0" fontId="19" fillId="0" borderId="41" xfId="18" applyFont="1" applyFill="1" applyBorder="1"/>
    <xf numFmtId="0" fontId="19" fillId="0" borderId="27" xfId="18" applyFont="1" applyFill="1" applyBorder="1"/>
    <xf numFmtId="0" fontId="19" fillId="0" borderId="6" xfId="18" applyFont="1" applyFill="1" applyBorder="1"/>
    <xf numFmtId="0" fontId="19" fillId="0" borderId="7" xfId="18" applyFont="1" applyFill="1" applyBorder="1"/>
    <xf numFmtId="0" fontId="19" fillId="0" borderId="41" xfId="18" applyFont="1" applyFill="1" applyBorder="1" applyAlignment="1">
      <alignment horizontal="center"/>
    </xf>
    <xf numFmtId="0" fontId="19" fillId="0" borderId="81" xfId="18" applyFont="1" applyFill="1" applyBorder="1"/>
    <xf numFmtId="0" fontId="19" fillId="0" borderId="0" xfId="18" applyFont="1" applyFill="1" applyBorder="1" applyAlignment="1">
      <alignment vertical="center"/>
    </xf>
    <xf numFmtId="0" fontId="19" fillId="0" borderId="82" xfId="18" applyFont="1" applyFill="1" applyBorder="1" applyAlignment="1">
      <alignment horizontal="center" vertical="center"/>
    </xf>
    <xf numFmtId="0" fontId="19" fillId="0" borderId="83" xfId="18" applyFont="1" applyFill="1" applyBorder="1" applyAlignment="1">
      <alignment horizontal="center" vertical="center"/>
    </xf>
    <xf numFmtId="0" fontId="19" fillId="0" borderId="84" xfId="18" applyFont="1" applyFill="1" applyBorder="1" applyAlignment="1">
      <alignment horizontal="centerContinuous" vertical="center"/>
    </xf>
    <xf numFmtId="0" fontId="19" fillId="0" borderId="85" xfId="18" applyFont="1" applyFill="1" applyBorder="1" applyAlignment="1">
      <alignment horizontal="centerContinuous" vertical="center"/>
    </xf>
    <xf numFmtId="0" fontId="19" fillId="0" borderId="86" xfId="18" applyFont="1" applyFill="1" applyBorder="1" applyAlignment="1">
      <alignment horizontal="centerContinuous" vertical="center"/>
    </xf>
    <xf numFmtId="0" fontId="19" fillId="0" borderId="86" xfId="18" applyFont="1" applyFill="1" applyBorder="1" applyAlignment="1">
      <alignment horizontal="center" vertical="center"/>
    </xf>
    <xf numFmtId="0" fontId="19" fillId="0" borderId="87" xfId="18" applyFont="1" applyFill="1" applyBorder="1" applyAlignment="1">
      <alignment horizontal="center" vertical="center"/>
    </xf>
    <xf numFmtId="0" fontId="19" fillId="0" borderId="0" xfId="18" applyFont="1" applyFill="1" applyAlignment="1">
      <alignment vertical="center"/>
    </xf>
    <xf numFmtId="0" fontId="19" fillId="0" borderId="0" xfId="18" applyFont="1" applyFill="1" applyBorder="1" applyAlignment="1">
      <alignment horizontal="right"/>
    </xf>
    <xf numFmtId="0" fontId="19" fillId="0" borderId="0" xfId="18" applyFont="1" applyFill="1" applyAlignment="1">
      <alignment horizontal="right"/>
    </xf>
    <xf numFmtId="0" fontId="19" fillId="0" borderId="0" xfId="18" applyFont="1" applyFill="1" applyAlignment="1">
      <alignment horizont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/>
    <xf numFmtId="0" fontId="9" fillId="0" borderId="0" xfId="1" applyFont="1" applyAlignment="1">
      <alignment horizontal="center"/>
    </xf>
    <xf numFmtId="0" fontId="23" fillId="0" borderId="0" xfId="21" applyAlignment="1">
      <alignment vertical="center"/>
    </xf>
    <xf numFmtId="0" fontId="8" fillId="0" borderId="0" xfId="1" quotePrefix="1"/>
    <xf numFmtId="4" fontId="8" fillId="0" borderId="0" xfId="1" applyNumberFormat="1"/>
    <xf numFmtId="0" fontId="11" fillId="0" borderId="0" xfId="1" applyFont="1" applyAlignment="1">
      <alignment horizontal="left"/>
    </xf>
    <xf numFmtId="0" fontId="11" fillId="0" borderId="60" xfId="21" applyFont="1" applyBorder="1" applyAlignment="1">
      <alignment horizontal="center" vertical="center"/>
    </xf>
    <xf numFmtId="0" fontId="10" fillId="0" borderId="0" xfId="21" applyFont="1" applyAlignment="1">
      <alignment vertical="center"/>
    </xf>
    <xf numFmtId="0" fontId="9" fillId="0" borderId="44" xfId="2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9" fillId="0" borderId="48" xfId="21" applyFont="1" applyBorder="1" applyAlignment="1">
      <alignment horizontal="center" vertical="center"/>
    </xf>
    <xf numFmtId="0" fontId="9" fillId="0" borderId="48" xfId="1" applyFont="1" applyBorder="1" applyAlignment="1">
      <alignment horizontal="center"/>
    </xf>
    <xf numFmtId="0" fontId="9" fillId="0" borderId="65" xfId="21" applyFont="1" applyBorder="1" applyAlignment="1">
      <alignment horizontal="center" vertical="center"/>
    </xf>
    <xf numFmtId="0" fontId="9" fillId="0" borderId="56" xfId="1" applyFont="1" applyBorder="1" applyAlignment="1">
      <alignment horizontal="center"/>
    </xf>
    <xf numFmtId="0" fontId="27" fillId="3" borderId="0" xfId="21" applyFont="1" applyFill="1" applyAlignment="1">
      <alignment horizontal="center" vertical="center"/>
    </xf>
    <xf numFmtId="0" fontId="9" fillId="0" borderId="12" xfId="1" applyFont="1" applyBorder="1" applyAlignment="1">
      <alignment horizontal="center"/>
    </xf>
    <xf numFmtId="0" fontId="8" fillId="3" borderId="0" xfId="21" applyFont="1" applyFill="1" applyAlignment="1">
      <alignment horizontal="center" vertical="center"/>
    </xf>
    <xf numFmtId="0" fontId="8" fillId="3" borderId="0" xfId="21" applyFont="1" applyFill="1" applyAlignment="1">
      <alignment vertical="center"/>
    </xf>
    <xf numFmtId="0" fontId="9" fillId="0" borderId="0" xfId="21" applyFont="1" applyAlignment="1">
      <alignment horizontal="center" vertical="center"/>
    </xf>
    <xf numFmtId="169" fontId="9" fillId="0" borderId="12" xfId="22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/>
    </xf>
    <xf numFmtId="165" fontId="19" fillId="0" borderId="0" xfId="18" applyNumberFormat="1" applyFont="1" applyFill="1"/>
    <xf numFmtId="0" fontId="27" fillId="3" borderId="0" xfId="21" applyFont="1" applyFill="1" applyAlignment="1">
      <alignment horizontal="center" vertical="center"/>
    </xf>
    <xf numFmtId="0" fontId="27" fillId="3" borderId="12" xfId="21" applyFont="1" applyFill="1" applyBorder="1" applyAlignment="1">
      <alignment horizontal="center" vertical="center"/>
    </xf>
    <xf numFmtId="0" fontId="29" fillId="0" borderId="0" xfId="18" applyFont="1" applyFill="1"/>
    <xf numFmtId="0" fontId="9" fillId="0" borderId="44" xfId="0" applyFont="1" applyFill="1" applyBorder="1" applyAlignment="1">
      <alignment horizontal="center" vertical="center"/>
    </xf>
    <xf numFmtId="0" fontId="9" fillId="0" borderId="44" xfId="21" applyFont="1" applyBorder="1" applyAlignment="1">
      <alignment horizontal="center" vertical="center"/>
    </xf>
    <xf numFmtId="167" fontId="27" fillId="3" borderId="37" xfId="1" applyNumberFormat="1" applyFont="1" applyFill="1" applyBorder="1" applyAlignment="1">
      <alignment horizontal="center" vertical="center"/>
    </xf>
    <xf numFmtId="3" fontId="27" fillId="3" borderId="47" xfId="1" applyNumberFormat="1" applyFont="1" applyFill="1" applyBorder="1" applyAlignment="1">
      <alignment horizontal="center" vertical="center"/>
    </xf>
    <xf numFmtId="0" fontId="27" fillId="3" borderId="15" xfId="1" applyNumberFormat="1" applyFont="1" applyFill="1" applyBorder="1" applyAlignment="1">
      <alignment horizontal="center" vertical="center"/>
    </xf>
    <xf numFmtId="0" fontId="27" fillId="3" borderId="14" xfId="1" applyNumberFormat="1" applyFont="1" applyFill="1" applyBorder="1" applyAlignment="1">
      <alignment horizontal="center" vertical="center"/>
    </xf>
    <xf numFmtId="0" fontId="27" fillId="3" borderId="0" xfId="1" applyNumberFormat="1" applyFont="1" applyFill="1" applyBorder="1" applyAlignment="1">
      <alignment horizontal="center" vertical="center"/>
    </xf>
    <xf numFmtId="0" fontId="6" fillId="3" borderId="47" xfId="1" applyFont="1" applyFill="1" applyBorder="1" applyAlignment="1" applyProtection="1">
      <alignment horizontal="center" vertical="center"/>
    </xf>
    <xf numFmtId="0" fontId="27" fillId="3" borderId="15" xfId="1" applyFont="1" applyFill="1" applyBorder="1" applyAlignment="1">
      <alignment horizontal="center" vertical="center"/>
    </xf>
    <xf numFmtId="0" fontId="6" fillId="3" borderId="13" xfId="1" applyNumberFormat="1" applyFont="1" applyFill="1" applyBorder="1" applyAlignment="1">
      <alignment horizontal="center" vertical="center"/>
    </xf>
    <xf numFmtId="3" fontId="27" fillId="3" borderId="46" xfId="1" applyNumberFormat="1" applyFont="1" applyFill="1" applyBorder="1" applyAlignment="1" applyProtection="1">
      <alignment horizontal="center" vertical="center"/>
    </xf>
    <xf numFmtId="3" fontId="27" fillId="3" borderId="12" xfId="1" applyNumberFormat="1" applyFont="1" applyFill="1" applyBorder="1" applyAlignment="1" applyProtection="1">
      <alignment horizontal="center" vertical="center"/>
    </xf>
    <xf numFmtId="0" fontId="27" fillId="3" borderId="12" xfId="1" quotePrefix="1" applyFont="1" applyFill="1" applyBorder="1" applyAlignment="1">
      <alignment horizontal="center" vertical="center"/>
    </xf>
    <xf numFmtId="3" fontId="30" fillId="3" borderId="58" xfId="1" applyNumberFormat="1" applyFont="1" applyFill="1" applyBorder="1" applyAlignment="1" applyProtection="1">
      <alignment horizontal="center" vertical="center"/>
    </xf>
    <xf numFmtId="0" fontId="27" fillId="3" borderId="46" xfId="1" applyFont="1" applyFill="1" applyBorder="1" applyAlignment="1" applyProtection="1">
      <alignment horizontal="center" vertical="center"/>
    </xf>
    <xf numFmtId="0" fontId="27" fillId="3" borderId="12" xfId="1" applyFont="1" applyFill="1" applyBorder="1" applyAlignment="1" applyProtection="1">
      <alignment horizontal="center" vertical="center"/>
    </xf>
    <xf numFmtId="0" fontId="27" fillId="3" borderId="12" xfId="1" applyNumberFormat="1" applyFont="1" applyFill="1" applyBorder="1" applyAlignment="1" applyProtection="1">
      <alignment horizontal="center" vertical="center"/>
    </xf>
    <xf numFmtId="0" fontId="27" fillId="3" borderId="58" xfId="1" applyFont="1" applyFill="1" applyBorder="1" applyAlignment="1" applyProtection="1">
      <alignment horizontal="center" vertical="center"/>
    </xf>
    <xf numFmtId="0" fontId="31" fillId="3" borderId="46" xfId="1" quotePrefix="1" applyFont="1" applyFill="1" applyBorder="1" applyAlignment="1">
      <alignment horizontal="center" vertical="center"/>
    </xf>
    <xf numFmtId="0" fontId="31" fillId="3" borderId="0" xfId="1" quotePrefix="1" applyFont="1" applyFill="1" applyBorder="1" applyAlignment="1">
      <alignment horizontal="center" vertical="center"/>
    </xf>
    <xf numFmtId="0" fontId="27" fillId="3" borderId="12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1" fillId="0" borderId="0" xfId="1" quotePrefix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167" fontId="27" fillId="3" borderId="0" xfId="1" applyNumberFormat="1" applyFont="1" applyFill="1" applyBorder="1" applyAlignment="1">
      <alignment horizontal="center" vertical="center"/>
    </xf>
    <xf numFmtId="3" fontId="27" fillId="3" borderId="0" xfId="1" applyNumberFormat="1" applyFont="1" applyFill="1" applyBorder="1" applyAlignment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</xf>
    <xf numFmtId="0" fontId="27" fillId="3" borderId="0" xfId="1" applyFont="1" applyFill="1" applyBorder="1" applyAlignment="1">
      <alignment horizontal="center" vertical="center"/>
    </xf>
    <xf numFmtId="0" fontId="6" fillId="3" borderId="0" xfId="1" applyNumberFormat="1" applyFont="1" applyFill="1" applyBorder="1" applyAlignment="1">
      <alignment horizontal="center" vertical="center"/>
    </xf>
    <xf numFmtId="3" fontId="27" fillId="3" borderId="0" xfId="1" applyNumberFormat="1" applyFont="1" applyFill="1" applyBorder="1" applyAlignment="1" applyProtection="1">
      <alignment horizontal="center" vertical="center"/>
    </xf>
    <xf numFmtId="0" fontId="27" fillId="3" borderId="0" xfId="1" quotePrefix="1" applyFont="1" applyFill="1" applyBorder="1" applyAlignment="1">
      <alignment horizontal="center" vertical="center"/>
    </xf>
    <xf numFmtId="3" fontId="30" fillId="3" borderId="0" xfId="1" applyNumberFormat="1" applyFont="1" applyFill="1" applyBorder="1" applyAlignment="1" applyProtection="1">
      <alignment horizontal="center" vertical="center"/>
    </xf>
    <xf numFmtId="0" fontId="27" fillId="3" borderId="0" xfId="1" applyFont="1" applyFill="1" applyBorder="1" applyAlignment="1" applyProtection="1">
      <alignment horizontal="center" vertical="center"/>
    </xf>
    <xf numFmtId="0" fontId="27" fillId="3" borderId="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7" fillId="0" borderId="0" xfId="1" applyFont="1" applyFill="1" applyBorder="1" applyAlignment="1">
      <alignment horizontal="center" vertical="center"/>
    </xf>
    <xf numFmtId="3" fontId="6" fillId="3" borderId="47" xfId="1" applyNumberFormat="1" applyFont="1" applyFill="1" applyBorder="1" applyAlignment="1">
      <alignment horizontal="center" vertical="center"/>
    </xf>
    <xf numFmtId="0" fontId="6" fillId="3" borderId="15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2" fontId="6" fillId="3" borderId="47" xfId="1" applyNumberFormat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48" xfId="1" applyFont="1" applyFill="1" applyBorder="1" applyAlignment="1">
      <alignment horizontal="center" vertical="center"/>
    </xf>
    <xf numFmtId="0" fontId="27" fillId="3" borderId="53" xfId="21" applyFont="1" applyFill="1" applyBorder="1" applyAlignment="1">
      <alignment vertical="center"/>
    </xf>
    <xf numFmtId="0" fontId="6" fillId="3" borderId="41" xfId="21" applyFont="1" applyFill="1" applyBorder="1" applyAlignment="1">
      <alignment horizontal="center" vertical="center"/>
    </xf>
    <xf numFmtId="3" fontId="30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6" fillId="3" borderId="46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58" xfId="1" applyFont="1" applyFill="1" applyBorder="1" applyAlignment="1">
      <alignment horizontal="center" vertical="center"/>
    </xf>
    <xf numFmtId="0" fontId="33" fillId="3" borderId="47" xfId="1" quotePrefix="1" applyFont="1" applyFill="1" applyBorder="1" applyAlignment="1">
      <alignment horizontal="center" vertical="center"/>
    </xf>
    <xf numFmtId="0" fontId="6" fillId="3" borderId="53" xfId="21" applyFont="1" applyFill="1" applyBorder="1" applyAlignment="1">
      <alignment horizontal="center" vertical="center"/>
    </xf>
    <xf numFmtId="0" fontId="6" fillId="3" borderId="12" xfId="21" applyFont="1" applyFill="1" applyBorder="1" applyAlignment="1">
      <alignment horizontal="center" vertical="center"/>
    </xf>
    <xf numFmtId="0" fontId="27" fillId="3" borderId="40" xfId="21" applyFont="1" applyFill="1" applyBorder="1" applyAlignment="1">
      <alignment vertical="center"/>
    </xf>
    <xf numFmtId="2" fontId="6" fillId="3" borderId="96" xfId="1" applyNumberFormat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27" fillId="3" borderId="40" xfId="21" applyFont="1" applyFill="1" applyBorder="1" applyAlignment="1">
      <alignment horizontal="center" vertical="center"/>
    </xf>
    <xf numFmtId="0" fontId="6" fillId="3" borderId="96" xfId="1" applyFont="1" applyFill="1" applyBorder="1" applyAlignment="1">
      <alignment horizontal="center" vertical="center"/>
    </xf>
    <xf numFmtId="0" fontId="27" fillId="3" borderId="34" xfId="21" applyFont="1" applyFill="1" applyBorder="1" applyAlignment="1">
      <alignment horizontal="center" vertical="center"/>
    </xf>
    <xf numFmtId="43" fontId="19" fillId="0" borderId="0" xfId="20" applyNumberFormat="1" applyFont="1" applyFill="1"/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9" fillId="0" borderId="6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0" fillId="0" borderId="44" xfId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44" xfId="1" applyFont="1" applyBorder="1" applyAlignment="1">
      <alignment vertical="center"/>
    </xf>
    <xf numFmtId="0" fontId="9" fillId="4" borderId="0" xfId="1" applyFont="1" applyFill="1" applyAlignment="1">
      <alignment horizontal="left" vertical="center"/>
    </xf>
    <xf numFmtId="0" fontId="11" fillId="4" borderId="0" xfId="1" applyFont="1" applyFill="1" applyAlignment="1">
      <alignment horizontal="left" vertical="center"/>
    </xf>
    <xf numFmtId="0" fontId="9" fillId="4" borderId="0" xfId="1" applyFont="1" applyFill="1" applyAlignment="1">
      <alignment vertical="center"/>
    </xf>
    <xf numFmtId="0" fontId="9" fillId="4" borderId="61" xfId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24" fillId="4" borderId="0" xfId="21" applyFont="1" applyFill="1" applyAlignment="1">
      <alignment horizontal="center" vertical="center"/>
    </xf>
    <xf numFmtId="0" fontId="11" fillId="4" borderId="60" xfId="21" applyFont="1" applyFill="1" applyBorder="1" applyAlignment="1">
      <alignment horizontal="center" vertical="center"/>
    </xf>
    <xf numFmtId="0" fontId="10" fillId="4" borderId="0" xfId="21" applyFont="1" applyFill="1" applyAlignment="1">
      <alignment vertical="center"/>
    </xf>
    <xf numFmtId="0" fontId="18" fillId="4" borderId="0" xfId="21" applyFont="1" applyFill="1" applyAlignment="1">
      <alignment horizontal="center" vertical="center"/>
    </xf>
    <xf numFmtId="0" fontId="11" fillId="4" borderId="44" xfId="21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horizontal="center" vertical="center" wrapText="1"/>
    </xf>
    <xf numFmtId="0" fontId="10" fillId="4" borderId="44" xfId="21" applyFont="1" applyFill="1" applyBorder="1" applyAlignment="1">
      <alignment vertical="center"/>
    </xf>
    <xf numFmtId="0" fontId="9" fillId="4" borderId="44" xfId="21" applyFont="1" applyFill="1" applyBorder="1" applyAlignment="1">
      <alignment horizontal="center" vertical="center"/>
    </xf>
    <xf numFmtId="0" fontId="10" fillId="4" borderId="0" xfId="21" applyFont="1" applyFill="1" applyAlignment="1">
      <alignment horizontal="center" vertical="center"/>
    </xf>
    <xf numFmtId="0" fontId="10" fillId="4" borderId="47" xfId="21" applyFont="1" applyFill="1" applyBorder="1" applyAlignment="1">
      <alignment horizontal="left" vertical="center"/>
    </xf>
    <xf numFmtId="0" fontId="11" fillId="4" borderId="0" xfId="21" applyFont="1" applyFill="1" applyAlignment="1">
      <alignment horizontal="center" vertical="center"/>
    </xf>
    <xf numFmtId="0" fontId="10" fillId="4" borderId="48" xfId="21" applyFont="1" applyFill="1" applyBorder="1" applyAlignment="1">
      <alignment vertical="center"/>
    </xf>
    <xf numFmtId="0" fontId="9" fillId="4" borderId="48" xfId="2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9" fillId="4" borderId="58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58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46" xfId="1" applyFont="1" applyFill="1" applyBorder="1" applyAlignment="1">
      <alignment horizontal="center" vertical="center" wrapText="1"/>
    </xf>
    <xf numFmtId="0" fontId="9" fillId="4" borderId="24" xfId="1" applyFont="1" applyFill="1" applyBorder="1" applyAlignment="1">
      <alignment horizontal="center" vertical="center" wrapText="1"/>
    </xf>
    <xf numFmtId="0" fontId="9" fillId="4" borderId="40" xfId="1" applyFont="1" applyFill="1" applyBorder="1" applyAlignment="1">
      <alignment horizontal="center" vertical="center" wrapText="1"/>
    </xf>
    <xf numFmtId="0" fontId="9" fillId="4" borderId="59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10" fillId="4" borderId="65" xfId="21" applyFont="1" applyFill="1" applyBorder="1" applyAlignment="1">
      <alignment vertical="center"/>
    </xf>
    <xf numFmtId="0" fontId="9" fillId="4" borderId="65" xfId="21" applyFont="1" applyFill="1" applyBorder="1" applyAlignment="1">
      <alignment horizontal="center" vertical="center"/>
    </xf>
    <xf numFmtId="0" fontId="10" fillId="4" borderId="65" xfId="21" applyFont="1" applyFill="1" applyBorder="1" applyAlignment="1">
      <alignment horizontal="left" vertical="center"/>
    </xf>
    <xf numFmtId="168" fontId="19" fillId="0" borderId="97" xfId="18" quotePrefix="1" applyNumberFormat="1" applyFont="1" applyFill="1" applyBorder="1" applyAlignment="1">
      <alignment horizontal="center" vertical="center"/>
    </xf>
    <xf numFmtId="0" fontId="19" fillId="0" borderId="98" xfId="18" applyFont="1" applyFill="1" applyBorder="1" applyAlignment="1">
      <alignment horizontal="center" vertical="center"/>
    </xf>
    <xf numFmtId="43" fontId="19" fillId="0" borderId="98" xfId="20" applyFont="1" applyFill="1" applyBorder="1" applyAlignment="1">
      <alignment vertical="center"/>
    </xf>
    <xf numFmtId="43" fontId="19" fillId="0" borderId="98" xfId="20" applyFont="1" applyFill="1" applyBorder="1" applyAlignment="1">
      <alignment horizontal="center" vertical="center"/>
    </xf>
    <xf numFmtId="43" fontId="19" fillId="3" borderId="98" xfId="20" applyFont="1" applyFill="1" applyBorder="1" applyAlignment="1">
      <alignment horizontal="center" vertical="center"/>
    </xf>
    <xf numFmtId="4" fontId="19" fillId="0" borderId="99" xfId="18" applyNumberFormat="1" applyFont="1" applyFill="1" applyBorder="1" applyAlignment="1">
      <alignment horizontal="left" vertical="center"/>
    </xf>
    <xf numFmtId="0" fontId="19" fillId="0" borderId="100" xfId="18" applyNumberFormat="1" applyFont="1" applyFill="1" applyBorder="1" applyAlignment="1">
      <alignment horizontal="left" vertical="center"/>
    </xf>
    <xf numFmtId="0" fontId="19" fillId="0" borderId="101" xfId="18" applyNumberFormat="1" applyFont="1" applyFill="1" applyBorder="1" applyAlignment="1">
      <alignment horizontal="left" vertical="center"/>
    </xf>
    <xf numFmtId="43" fontId="19" fillId="0" borderId="102" xfId="20" applyFont="1" applyFill="1" applyBorder="1" applyAlignment="1">
      <alignment horizontal="center" vertical="center"/>
    </xf>
    <xf numFmtId="171" fontId="19" fillId="0" borderId="0" xfId="18" applyNumberFormat="1" applyFont="1" applyFill="1"/>
    <xf numFmtId="165" fontId="19" fillId="0" borderId="77" xfId="18" applyNumberFormat="1" applyFont="1" applyFill="1" applyBorder="1"/>
    <xf numFmtId="49" fontId="19" fillId="0" borderId="103" xfId="18" applyNumberFormat="1" applyFont="1" applyFill="1" applyBorder="1" applyAlignment="1">
      <alignment horizontal="center" vertical="center"/>
    </xf>
    <xf numFmtId="49" fontId="19" fillId="0" borderId="104" xfId="18" applyNumberFormat="1" applyFont="1" applyFill="1" applyBorder="1" applyAlignment="1">
      <alignment horizontal="center" vertical="center"/>
    </xf>
    <xf numFmtId="168" fontId="19" fillId="0" borderId="105" xfId="18" quotePrefix="1" applyNumberFormat="1" applyFont="1" applyFill="1" applyBorder="1" applyAlignment="1">
      <alignment horizontal="center" vertical="center"/>
    </xf>
    <xf numFmtId="4" fontId="19" fillId="0" borderId="106" xfId="18" applyNumberFormat="1" applyFont="1" applyFill="1" applyBorder="1" applyAlignment="1">
      <alignment horizontal="left" vertical="center"/>
    </xf>
    <xf numFmtId="0" fontId="19" fillId="0" borderId="107" xfId="18" applyNumberFormat="1" applyFont="1" applyFill="1" applyBorder="1" applyAlignment="1">
      <alignment horizontal="left" vertical="center"/>
    </xf>
    <xf numFmtId="0" fontId="19" fillId="0" borderId="108" xfId="18" applyNumberFormat="1" applyFont="1" applyFill="1" applyBorder="1" applyAlignment="1">
      <alignment horizontal="left" vertical="center"/>
    </xf>
    <xf numFmtId="0" fontId="19" fillId="0" borderId="109" xfId="18" applyFont="1" applyFill="1" applyBorder="1" applyAlignment="1">
      <alignment horizontal="center" vertical="center"/>
    </xf>
    <xf numFmtId="43" fontId="19" fillId="0" borderId="109" xfId="20" applyFont="1" applyFill="1" applyBorder="1" applyAlignment="1">
      <alignment vertical="center"/>
    </xf>
    <xf numFmtId="43" fontId="19" fillId="0" borderId="109" xfId="20" applyFont="1" applyFill="1" applyBorder="1" applyAlignment="1">
      <alignment horizontal="center" vertical="center"/>
    </xf>
    <xf numFmtId="43" fontId="19" fillId="3" borderId="109" xfId="20" applyFont="1" applyFill="1" applyBorder="1" applyAlignment="1">
      <alignment horizontal="center" vertical="center"/>
    </xf>
    <xf numFmtId="43" fontId="19" fillId="0" borderId="99" xfId="20" applyFont="1" applyFill="1" applyBorder="1" applyAlignment="1">
      <alignment horizontal="center" vertical="center"/>
    </xf>
    <xf numFmtId="43" fontId="19" fillId="0" borderId="112" xfId="20" applyFont="1" applyFill="1" applyBorder="1" applyAlignment="1">
      <alignment horizontal="center" vertical="center"/>
    </xf>
    <xf numFmtId="43" fontId="19" fillId="0" borderId="113" xfId="20" applyFont="1" applyFill="1" applyBorder="1" applyAlignment="1">
      <alignment horizontal="center" vertical="center"/>
    </xf>
    <xf numFmtId="37" fontId="19" fillId="3" borderId="103" xfId="20" applyNumberFormat="1" applyFont="1" applyFill="1" applyBorder="1" applyAlignment="1">
      <alignment horizontal="center" vertical="center"/>
    </xf>
    <xf numFmtId="37" fontId="19" fillId="0" borderId="103" xfId="20" applyNumberFormat="1" applyFont="1" applyFill="1" applyBorder="1" applyAlignment="1">
      <alignment horizontal="center" vertical="center"/>
    </xf>
    <xf numFmtId="37" fontId="19" fillId="3" borderId="104" xfId="20" applyNumberFormat="1" applyFont="1" applyFill="1" applyBorder="1" applyAlignment="1">
      <alignment horizontal="center" vertical="center"/>
    </xf>
    <xf numFmtId="37" fontId="19" fillId="3" borderId="115" xfId="20" applyNumberFormat="1" applyFont="1" applyFill="1" applyBorder="1" applyAlignment="1">
      <alignment horizontal="center" vertical="center"/>
    </xf>
    <xf numFmtId="43" fontId="19" fillId="3" borderId="116" xfId="20" applyFont="1" applyFill="1" applyBorder="1" applyAlignment="1">
      <alignment horizontal="center" vertical="center"/>
    </xf>
    <xf numFmtId="165" fontId="19" fillId="0" borderId="114" xfId="18" applyNumberFormat="1" applyFont="1" applyFill="1" applyBorder="1"/>
    <xf numFmtId="43" fontId="19" fillId="0" borderId="106" xfId="20" applyFont="1" applyFill="1" applyBorder="1" applyAlignment="1">
      <alignment horizontal="center" vertical="center"/>
    </xf>
    <xf numFmtId="0" fontId="29" fillId="0" borderId="0" xfId="18" applyFont="1" applyFill="1" applyAlignment="1">
      <alignment vertical="center"/>
    </xf>
    <xf numFmtId="2" fontId="19" fillId="0" borderId="0" xfId="18" applyNumberFormat="1" applyFont="1" applyFill="1"/>
    <xf numFmtId="49" fontId="19" fillId="0" borderId="66" xfId="18" applyNumberFormat="1" applyFont="1" applyFill="1" applyBorder="1" applyAlignment="1">
      <alignment horizontal="center" vertical="center"/>
    </xf>
    <xf numFmtId="168" fontId="19" fillId="0" borderId="67" xfId="18" quotePrefix="1" applyNumberFormat="1" applyFont="1" applyFill="1" applyBorder="1" applyAlignment="1">
      <alignment horizontal="center" vertical="center"/>
    </xf>
    <xf numFmtId="4" fontId="19" fillId="0" borderId="68" xfId="18" applyNumberFormat="1" applyFont="1" applyFill="1" applyBorder="1" applyAlignment="1">
      <alignment horizontal="left" vertical="center"/>
    </xf>
    <xf numFmtId="0" fontId="19" fillId="0" borderId="69" xfId="18" applyNumberFormat="1" applyFont="1" applyFill="1" applyBorder="1" applyAlignment="1">
      <alignment horizontal="left" vertical="center"/>
    </xf>
    <xf numFmtId="0" fontId="19" fillId="0" borderId="70" xfId="18" applyNumberFormat="1" applyFont="1" applyFill="1" applyBorder="1" applyAlignment="1">
      <alignment horizontal="left" vertical="center"/>
    </xf>
    <xf numFmtId="0" fontId="19" fillId="0" borderId="67" xfId="18" applyFont="1" applyFill="1" applyBorder="1" applyAlignment="1">
      <alignment horizontal="center" vertical="center"/>
    </xf>
    <xf numFmtId="43" fontId="19" fillId="0" borderId="67" xfId="20" applyFont="1" applyFill="1" applyBorder="1" applyAlignment="1">
      <alignment vertical="center"/>
    </xf>
    <xf numFmtId="43" fontId="19" fillId="0" borderId="111" xfId="20" applyFont="1" applyFill="1" applyBorder="1" applyAlignment="1">
      <alignment horizontal="center" vertical="center"/>
    </xf>
    <xf numFmtId="43" fontId="19" fillId="0" borderId="95" xfId="20" applyFont="1" applyFill="1" applyBorder="1" applyAlignment="1">
      <alignment horizontal="center" vertical="center"/>
    </xf>
    <xf numFmtId="43" fontId="19" fillId="0" borderId="67" xfId="20" applyFont="1" applyFill="1" applyBorder="1" applyAlignment="1">
      <alignment horizontal="center" vertical="center"/>
    </xf>
    <xf numFmtId="43" fontId="19" fillId="0" borderId="110" xfId="20" applyFont="1" applyFill="1" applyBorder="1" applyAlignment="1">
      <alignment horizontal="center" vertical="center"/>
    </xf>
    <xf numFmtId="37" fontId="19" fillId="0" borderId="66" xfId="20" applyNumberFormat="1" applyFont="1" applyFill="1" applyBorder="1" applyAlignment="1">
      <alignment horizontal="center" vertical="center"/>
    </xf>
    <xf numFmtId="165" fontId="19" fillId="0" borderId="73" xfId="18" applyNumberFormat="1" applyFont="1" applyFill="1" applyBorder="1"/>
    <xf numFmtId="0" fontId="19" fillId="0" borderId="71" xfId="18" applyFont="1" applyFill="1" applyBorder="1"/>
    <xf numFmtId="0" fontId="19" fillId="0" borderId="72" xfId="18" applyFont="1" applyFill="1" applyBorder="1"/>
    <xf numFmtId="0" fontId="19" fillId="0" borderId="72" xfId="18" applyFont="1" applyFill="1" applyBorder="1" applyAlignment="1">
      <alignment horizontal="right"/>
    </xf>
    <xf numFmtId="0" fontId="19" fillId="0" borderId="117" xfId="18" applyFont="1" applyFill="1" applyBorder="1"/>
    <xf numFmtId="0" fontId="19" fillId="0" borderId="85" xfId="18" applyFont="1" applyFill="1" applyBorder="1"/>
    <xf numFmtId="0" fontId="19" fillId="0" borderId="85" xfId="18" applyFont="1" applyFill="1" applyBorder="1" applyAlignment="1">
      <alignment horizontal="right"/>
    </xf>
    <xf numFmtId="43" fontId="21" fillId="0" borderId="118" xfId="18" applyNumberFormat="1" applyFont="1" applyFill="1" applyBorder="1"/>
    <xf numFmtId="0" fontId="19" fillId="0" borderId="118" xfId="18" applyFont="1" applyFill="1" applyBorder="1"/>
    <xf numFmtId="2" fontId="19" fillId="0" borderId="118" xfId="18" applyNumberFormat="1" applyFont="1" applyFill="1" applyBorder="1"/>
    <xf numFmtId="0" fontId="19" fillId="0" borderId="119" xfId="18" applyFont="1" applyFill="1" applyBorder="1"/>
    <xf numFmtId="2" fontId="19" fillId="0" borderId="83" xfId="18" applyNumberFormat="1" applyFont="1" applyFill="1" applyBorder="1"/>
    <xf numFmtId="0" fontId="19" fillId="0" borderId="83" xfId="18" applyFont="1" applyFill="1" applyBorder="1"/>
    <xf numFmtId="2" fontId="21" fillId="0" borderId="83" xfId="18" applyNumberFormat="1" applyFont="1" applyFill="1" applyBorder="1"/>
    <xf numFmtId="0" fontId="19" fillId="0" borderId="88" xfId="18" applyFont="1" applyFill="1" applyBorder="1"/>
    <xf numFmtId="0" fontId="21" fillId="0" borderId="0" xfId="18" applyFont="1" applyFill="1" applyAlignment="1">
      <alignment horizontal="center"/>
    </xf>
    <xf numFmtId="0" fontId="35" fillId="0" borderId="0" xfId="18" applyFont="1" applyFill="1" applyAlignment="1">
      <alignment horizontal="center"/>
    </xf>
    <xf numFmtId="0" fontId="19" fillId="0" borderId="85" xfId="18" applyFont="1" applyFill="1" applyBorder="1" applyAlignment="1">
      <alignment horizontal="center" vertical="center"/>
    </xf>
    <xf numFmtId="43" fontId="19" fillId="0" borderId="66" xfId="20" applyFont="1" applyFill="1" applyBorder="1" applyAlignment="1">
      <alignment horizontal="center" vertical="center"/>
    </xf>
    <xf numFmtId="43" fontId="19" fillId="0" borderId="103" xfId="20" applyFont="1" applyFill="1" applyBorder="1" applyAlignment="1">
      <alignment horizontal="center" vertical="center"/>
    </xf>
    <xf numFmtId="43" fontId="19" fillId="0" borderId="104" xfId="20" applyFont="1" applyFill="1" applyBorder="1" applyAlignment="1">
      <alignment horizontal="center" vertical="center"/>
    </xf>
    <xf numFmtId="2" fontId="19" fillId="0" borderId="123" xfId="18" applyNumberFormat="1" applyFont="1" applyFill="1" applyBorder="1"/>
    <xf numFmtId="2" fontId="21" fillId="0" borderId="82" xfId="18" applyNumberFormat="1" applyFont="1" applyFill="1" applyBorder="1"/>
    <xf numFmtId="0" fontId="20" fillId="0" borderId="0" xfId="18" applyFont="1" applyFill="1" applyBorder="1" applyAlignment="1">
      <alignment horizontal="center"/>
    </xf>
    <xf numFmtId="0" fontId="19" fillId="0" borderId="88" xfId="18" applyFont="1" applyFill="1" applyBorder="1" applyAlignment="1">
      <alignment horizontal="center" vertical="center"/>
    </xf>
    <xf numFmtId="2" fontId="21" fillId="0" borderId="118" xfId="18" applyNumberFormat="1" applyFont="1" applyFill="1" applyBorder="1"/>
    <xf numFmtId="0" fontId="21" fillId="0" borderId="83" xfId="18" applyFont="1" applyFill="1" applyBorder="1"/>
    <xf numFmtId="170" fontId="19" fillId="0" borderId="0" xfId="18" applyNumberFormat="1" applyFont="1" applyFill="1"/>
    <xf numFmtId="0" fontId="19" fillId="0" borderId="38" xfId="18" applyFont="1" applyFill="1" applyBorder="1"/>
    <xf numFmtId="0" fontId="19" fillId="0" borderId="84" xfId="18" applyFont="1" applyFill="1" applyBorder="1" applyAlignment="1">
      <alignment horizontal="center" vertical="center"/>
    </xf>
    <xf numFmtId="2" fontId="19" fillId="0" borderId="69" xfId="18" applyNumberFormat="1" applyFont="1" applyFill="1" applyBorder="1" applyAlignment="1">
      <alignment horizontal="center" vertical="center"/>
    </xf>
    <xf numFmtId="2" fontId="19" fillId="0" borderId="99" xfId="18" applyNumberFormat="1" applyFont="1" applyFill="1" applyBorder="1" applyAlignment="1">
      <alignment horizontal="center" vertical="center"/>
    </xf>
    <xf numFmtId="2" fontId="19" fillId="0" borderId="106" xfId="18" applyNumberFormat="1" applyFont="1" applyFill="1" applyBorder="1" applyAlignment="1">
      <alignment horizontal="center" vertical="center"/>
    </xf>
    <xf numFmtId="0" fontId="20" fillId="5" borderId="0" xfId="18" applyFont="1" applyFill="1" applyBorder="1" applyAlignment="1">
      <alignment horizontal="center"/>
    </xf>
    <xf numFmtId="0" fontId="21" fillId="5" borderId="0" xfId="18" applyFont="1" applyFill="1"/>
    <xf numFmtId="0" fontId="19" fillId="5" borderId="10" xfId="18" applyFont="1" applyFill="1" applyBorder="1" applyAlignment="1">
      <alignment horizontal="center"/>
    </xf>
    <xf numFmtId="0" fontId="19" fillId="5" borderId="7" xfId="18" applyFont="1" applyFill="1" applyBorder="1"/>
    <xf numFmtId="0" fontId="19" fillId="5" borderId="86" xfId="18" applyFont="1" applyFill="1" applyBorder="1" applyAlignment="1">
      <alignment horizontal="center" vertical="center"/>
    </xf>
    <xf numFmtId="43" fontId="19" fillId="5" borderId="70" xfId="20" applyFont="1" applyFill="1" applyBorder="1" applyAlignment="1">
      <alignment horizontal="center" vertical="center"/>
    </xf>
    <xf numFmtId="43" fontId="19" fillId="5" borderId="98" xfId="20" applyFont="1" applyFill="1" applyBorder="1" applyAlignment="1">
      <alignment horizontal="center" vertical="center"/>
    </xf>
    <xf numFmtId="43" fontId="21" fillId="5" borderId="118" xfId="18" applyNumberFormat="1" applyFont="1" applyFill="1" applyBorder="1"/>
    <xf numFmtId="0" fontId="19" fillId="5" borderId="83" xfId="18" applyFont="1" applyFill="1" applyBorder="1"/>
    <xf numFmtId="0" fontId="19" fillId="5" borderId="0" xfId="18" applyFont="1" applyFill="1"/>
    <xf numFmtId="165" fontId="19" fillId="5" borderId="0" xfId="18" applyNumberFormat="1" applyFont="1" applyFill="1"/>
    <xf numFmtId="0" fontId="21" fillId="5" borderId="121" xfId="18" applyFont="1" applyFill="1" applyBorder="1" applyAlignment="1">
      <alignment horizontal="center" vertical="center" wrapText="1"/>
    </xf>
    <xf numFmtId="0" fontId="19" fillId="5" borderId="122" xfId="18" applyFont="1" applyFill="1" applyBorder="1" applyAlignment="1">
      <alignment horizontal="center"/>
    </xf>
    <xf numFmtId="0" fontId="19" fillId="5" borderId="78" xfId="18" applyFont="1" applyFill="1" applyBorder="1"/>
    <xf numFmtId="0" fontId="19" fillId="5" borderId="117" xfId="18" applyFont="1" applyFill="1" applyBorder="1" applyAlignment="1">
      <alignment horizontal="center" vertical="center"/>
    </xf>
    <xf numFmtId="43" fontId="19" fillId="5" borderId="110" xfId="20" applyFont="1" applyFill="1" applyBorder="1" applyAlignment="1">
      <alignment horizontal="center" vertical="center"/>
    </xf>
    <xf numFmtId="43" fontId="19" fillId="5" borderId="99" xfId="20" applyFont="1" applyFill="1" applyBorder="1" applyAlignment="1">
      <alignment horizontal="center" vertical="center"/>
    </xf>
    <xf numFmtId="43" fontId="21" fillId="5" borderId="120" xfId="18" applyNumberFormat="1" applyFont="1" applyFill="1" applyBorder="1"/>
    <xf numFmtId="0" fontId="19" fillId="5" borderId="84" xfId="18" applyFont="1" applyFill="1" applyBorder="1"/>
    <xf numFmtId="0" fontId="19" fillId="0" borderId="1" xfId="18" applyFont="1" applyFill="1" applyBorder="1"/>
    <xf numFmtId="0" fontId="36" fillId="0" borderId="2" xfId="18" applyFont="1" applyFill="1" applyBorder="1" applyAlignment="1">
      <alignment horizontal="center"/>
    </xf>
    <xf numFmtId="0" fontId="19" fillId="0" borderId="2" xfId="18" applyFont="1" applyFill="1" applyBorder="1"/>
    <xf numFmtId="0" fontId="19" fillId="0" borderId="4" xfId="18" applyFont="1" applyFill="1" applyBorder="1"/>
    <xf numFmtId="0" fontId="19" fillId="0" borderId="28" xfId="18" applyFont="1" applyFill="1" applyBorder="1"/>
    <xf numFmtId="0" fontId="36" fillId="0" borderId="29" xfId="18" applyFont="1" applyFill="1" applyBorder="1" applyAlignment="1">
      <alignment horizontal="right"/>
    </xf>
    <xf numFmtId="2" fontId="21" fillId="0" borderId="29" xfId="18" applyNumberFormat="1" applyFont="1" applyFill="1" applyBorder="1"/>
    <xf numFmtId="0" fontId="21" fillId="0" borderId="32" xfId="18" applyFont="1" applyFill="1" applyBorder="1"/>
    <xf numFmtId="0" fontId="19" fillId="0" borderId="37" xfId="18" applyFont="1" applyFill="1" applyBorder="1"/>
    <xf numFmtId="0" fontId="36" fillId="0" borderId="14" xfId="18" applyFont="1" applyFill="1" applyBorder="1" applyAlignment="1">
      <alignment horizontal="right"/>
    </xf>
    <xf numFmtId="2" fontId="21" fillId="0" borderId="14" xfId="18" applyNumberFormat="1" applyFont="1" applyFill="1" applyBorder="1"/>
    <xf numFmtId="0" fontId="21" fillId="0" borderId="39" xfId="18" applyFont="1" applyFill="1" applyBorder="1"/>
    <xf numFmtId="0" fontId="29" fillId="0" borderId="0" xfId="18" applyFont="1" applyFill="1" applyBorder="1"/>
    <xf numFmtId="43" fontId="29" fillId="0" borderId="0" xfId="18" applyNumberFormat="1" applyFont="1" applyFill="1" applyBorder="1"/>
    <xf numFmtId="0" fontId="29" fillId="0" borderId="0" xfId="18" applyFont="1" applyFill="1" applyBorder="1" applyAlignment="1">
      <alignment horizontal="centerContinuous"/>
    </xf>
    <xf numFmtId="0" fontId="29" fillId="0" borderId="0" xfId="18" applyFont="1" applyFill="1" applyBorder="1" applyAlignment="1">
      <alignment horizontal="center"/>
    </xf>
    <xf numFmtId="0" fontId="29" fillId="0" borderId="0" xfId="18" applyFont="1" applyFill="1" applyBorder="1" applyAlignment="1">
      <alignment horizontal="center" vertical="center"/>
    </xf>
    <xf numFmtId="171" fontId="29" fillId="0" borderId="0" xfId="20" applyNumberFormat="1" applyFont="1" applyFill="1" applyBorder="1"/>
    <xf numFmtId="0" fontId="29" fillId="0" borderId="0" xfId="18" applyFont="1"/>
    <xf numFmtId="0" fontId="29" fillId="0" borderId="0" xfId="18" applyFont="1" applyFill="1" applyAlignment="1">
      <alignment horizontal="right"/>
    </xf>
    <xf numFmtId="0" fontId="29" fillId="5" borderId="0" xfId="18" applyFont="1" applyFill="1" applyAlignment="1">
      <alignment horizontal="right"/>
    </xf>
    <xf numFmtId="172" fontId="37" fillId="0" borderId="0" xfId="23" applyNumberFormat="1" applyFont="1" applyFill="1"/>
    <xf numFmtId="2" fontId="29" fillId="0" borderId="0" xfId="18" applyNumberFormat="1" applyFont="1" applyFill="1"/>
    <xf numFmtId="4" fontId="29" fillId="0" borderId="0" xfId="18" applyNumberFormat="1" applyFont="1" applyFill="1"/>
    <xf numFmtId="2" fontId="37" fillId="0" borderId="0" xfId="18" applyNumberFormat="1" applyFont="1" applyFill="1"/>
    <xf numFmtId="0" fontId="29" fillId="5" borderId="0" xfId="18" applyFont="1" applyFill="1"/>
    <xf numFmtId="172" fontId="37" fillId="0" borderId="0" xfId="18" applyNumberFormat="1" applyFont="1" applyFill="1"/>
    <xf numFmtId="165" fontId="29" fillId="0" borderId="0" xfId="18" applyNumberFormat="1" applyFont="1" applyFill="1"/>
    <xf numFmtId="0" fontId="20" fillId="0" borderId="0" xfId="18" applyFont="1" applyFill="1" applyBorder="1" applyAlignment="1">
      <alignment horizontal="center"/>
    </xf>
    <xf numFmtId="0" fontId="22" fillId="0" borderId="13" xfId="18" applyFont="1" applyFill="1" applyBorder="1" applyAlignment="1">
      <alignment horizontal="center" vertical="center"/>
    </xf>
    <xf numFmtId="0" fontId="22" fillId="0" borderId="15" xfId="18" applyFont="1" applyFill="1" applyBorder="1" applyAlignment="1">
      <alignment horizontal="center" vertical="center"/>
    </xf>
    <xf numFmtId="0" fontId="21" fillId="0" borderId="71" xfId="18" applyFont="1" applyFill="1" applyBorder="1" applyAlignment="1">
      <alignment horizontal="center" vertical="center" wrapText="1"/>
    </xf>
    <xf numFmtId="0" fontId="21" fillId="0" borderId="72" xfId="18" applyFont="1" applyFill="1" applyBorder="1" applyAlignment="1">
      <alignment horizontal="center" vertical="center" wrapText="1"/>
    </xf>
    <xf numFmtId="0" fontId="21" fillId="0" borderId="66" xfId="18" applyFont="1" applyFill="1" applyBorder="1" applyAlignment="1">
      <alignment horizontal="center" vertical="center" wrapText="1"/>
    </xf>
    <xf numFmtId="0" fontId="21" fillId="0" borderId="67" xfId="18" applyFont="1" applyFill="1" applyBorder="1" applyAlignment="1">
      <alignment horizontal="center" vertical="center" wrapText="1"/>
    </xf>
    <xf numFmtId="0" fontId="21" fillId="0" borderId="73" xfId="18" applyFont="1" applyFill="1" applyBorder="1" applyAlignment="1">
      <alignment horizontal="center" vertical="center" wrapText="1"/>
    </xf>
    <xf numFmtId="0" fontId="21" fillId="0" borderId="75" xfId="18" applyFont="1" applyFill="1" applyBorder="1" applyAlignment="1">
      <alignment horizontal="center" vertical="center"/>
    </xf>
    <xf numFmtId="0" fontId="21" fillId="0" borderId="24" xfId="18" applyFont="1" applyFill="1" applyBorder="1" applyAlignment="1">
      <alignment horizontal="center" vertical="center"/>
    </xf>
    <xf numFmtId="0" fontId="21" fillId="0" borderId="78" xfId="18" applyFont="1" applyFill="1" applyBorder="1" applyAlignment="1">
      <alignment horizontal="center" vertical="center"/>
    </xf>
    <xf numFmtId="0" fontId="21" fillId="0" borderId="7" xfId="18" applyFont="1" applyFill="1" applyBorder="1" applyAlignment="1">
      <alignment horizontal="center" vertical="center"/>
    </xf>
    <xf numFmtId="0" fontId="21" fillId="0" borderId="23" xfId="18" applyFont="1" applyFill="1" applyBorder="1" applyAlignment="1">
      <alignment horizontal="center" vertical="center"/>
    </xf>
    <xf numFmtId="0" fontId="21" fillId="0" borderId="27" xfId="18" applyFont="1" applyFill="1" applyBorder="1" applyAlignment="1">
      <alignment horizontal="center" vertical="center"/>
    </xf>
    <xf numFmtId="0" fontId="21" fillId="0" borderId="76" xfId="18" applyFont="1" applyFill="1" applyBorder="1" applyAlignment="1">
      <alignment horizontal="center" vertical="center"/>
    </xf>
    <xf numFmtId="0" fontId="21" fillId="0" borderId="79" xfId="18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6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6" fontId="5" fillId="0" borderId="37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5" fillId="0" borderId="28" xfId="0" applyNumberFormat="1" applyFont="1" applyBorder="1" applyAlignment="1">
      <alignment horizontal="center" vertical="center"/>
    </xf>
    <xf numFmtId="166" fontId="5" fillId="0" borderId="29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10" fillId="0" borderId="40" xfId="1" applyFont="1" applyFill="1" applyBorder="1" applyAlignment="1">
      <alignment horizontal="center" vertical="center" wrapText="1"/>
    </xf>
    <xf numFmtId="0" fontId="10" fillId="0" borderId="53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center" vertical="center" textRotation="180" wrapText="1"/>
    </xf>
    <xf numFmtId="0" fontId="14" fillId="0" borderId="53" xfId="1" applyFont="1" applyFill="1" applyBorder="1" applyAlignment="1">
      <alignment horizontal="center" vertical="center" textRotation="180" wrapText="1"/>
    </xf>
    <xf numFmtId="0" fontId="14" fillId="0" borderId="41" xfId="1" applyFont="1" applyFill="1" applyBorder="1" applyAlignment="1">
      <alignment horizontal="center" vertical="center" textRotation="180" wrapText="1"/>
    </xf>
    <xf numFmtId="0" fontId="10" fillId="0" borderId="15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54" xfId="1" applyFont="1" applyFill="1" applyBorder="1" applyAlignment="1">
      <alignment horizontal="center" vertical="center" wrapText="1"/>
    </xf>
    <xf numFmtId="0" fontId="10" fillId="0" borderId="46" xfId="1" applyFont="1" applyFill="1" applyBorder="1" applyAlignment="1">
      <alignment horizontal="center" vertical="center" wrapText="1"/>
    </xf>
    <xf numFmtId="0" fontId="10" fillId="0" borderId="55" xfId="1" applyFont="1" applyFill="1" applyBorder="1" applyAlignment="1">
      <alignment horizontal="center" vertical="center" wrapText="1"/>
    </xf>
    <xf numFmtId="0" fontId="10" fillId="0" borderId="45" xfId="1" applyFont="1" applyFill="1" applyBorder="1" applyAlignment="1">
      <alignment horizontal="center" vertical="center" wrapText="1"/>
    </xf>
    <xf numFmtId="0" fontId="10" fillId="0" borderId="57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 wrapText="1"/>
    </xf>
    <xf numFmtId="0" fontId="10" fillId="0" borderId="52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9" fillId="0" borderId="57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0" borderId="2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58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/>
    </xf>
    <xf numFmtId="0" fontId="12" fillId="0" borderId="13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/>
    </xf>
    <xf numFmtId="0" fontId="12" fillId="0" borderId="4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10" fillId="0" borderId="44" xfId="1" applyFont="1" applyFill="1" applyBorder="1" applyAlignment="1">
      <alignment horizontal="center" vertical="center" wrapText="1"/>
    </xf>
    <xf numFmtId="0" fontId="10" fillId="0" borderId="48" xfId="1" applyFont="1" applyFill="1" applyBorder="1" applyAlignment="1">
      <alignment horizontal="center" vertical="center" wrapText="1"/>
    </xf>
    <xf numFmtId="0" fontId="10" fillId="0" borderId="56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textRotation="180" wrapText="1"/>
    </xf>
    <xf numFmtId="0" fontId="9" fillId="0" borderId="0" xfId="1" applyFont="1" applyFill="1" applyBorder="1" applyAlignment="1">
      <alignment horizontal="center" vertical="center" textRotation="180" wrapText="1"/>
    </xf>
    <xf numFmtId="0" fontId="9" fillId="0" borderId="6" xfId="1" applyFont="1" applyFill="1" applyBorder="1" applyAlignment="1">
      <alignment horizontal="center" vertical="center" textRotation="180" wrapText="1"/>
    </xf>
    <xf numFmtId="0" fontId="10" fillId="0" borderId="49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left"/>
    </xf>
    <xf numFmtId="0" fontId="8" fillId="0" borderId="15" xfId="1" applyFont="1" applyFill="1" applyBorder="1" applyAlignment="1">
      <alignment horizontal="left"/>
    </xf>
    <xf numFmtId="0" fontId="8" fillId="0" borderId="23" xfId="1" quotePrefix="1" applyFont="1" applyFill="1" applyBorder="1" applyAlignment="1">
      <alignment horizontal="left"/>
    </xf>
    <xf numFmtId="0" fontId="8" fillId="0" borderId="24" xfId="1" applyFont="1" applyFill="1" applyBorder="1" applyAlignment="1">
      <alignment horizontal="left"/>
    </xf>
    <xf numFmtId="4" fontId="8" fillId="0" borderId="12" xfId="1" quotePrefix="1" applyNumberFormat="1" applyFont="1" applyFill="1" applyBorder="1" applyAlignment="1">
      <alignment horizontal="left"/>
    </xf>
    <xf numFmtId="4" fontId="8" fillId="0" borderId="12" xfId="1" applyNumberFormat="1" applyFont="1" applyFill="1" applyBorder="1" applyAlignment="1">
      <alignment horizontal="left"/>
    </xf>
    <xf numFmtId="0" fontId="11" fillId="0" borderId="28" xfId="1" applyFont="1" applyFill="1" applyBorder="1" applyAlignment="1">
      <alignment horizontal="center" vertical="center"/>
    </xf>
    <xf numFmtId="0" fontId="11" fillId="0" borderId="29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43" xfId="1" applyFont="1" applyFill="1" applyBorder="1" applyAlignment="1">
      <alignment horizontal="center" vertical="center" wrapText="1"/>
    </xf>
    <xf numFmtId="0" fontId="10" fillId="0" borderId="47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0" fontId="9" fillId="0" borderId="57" xfId="1" applyFont="1" applyFill="1" applyBorder="1" applyAlignment="1">
      <alignment horizontal="center" vertical="center"/>
    </xf>
    <xf numFmtId="0" fontId="27" fillId="3" borderId="12" xfId="21" applyFont="1" applyFill="1" applyBorder="1" applyAlignment="1">
      <alignment horizontal="center" vertical="center"/>
    </xf>
    <xf numFmtId="0" fontId="27" fillId="3" borderId="0" xfId="21" applyFont="1" applyFill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 wrapText="1"/>
    </xf>
    <xf numFmtId="0" fontId="9" fillId="4" borderId="40" xfId="1" applyFont="1" applyFill="1" applyBorder="1" applyAlignment="1">
      <alignment horizontal="center" vertical="center" wrapText="1"/>
    </xf>
    <xf numFmtId="0" fontId="9" fillId="4" borderId="41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27" fillId="3" borderId="40" xfId="21" applyFont="1" applyFill="1" applyBorder="1" applyAlignment="1">
      <alignment horizontal="center" vertical="center"/>
    </xf>
    <xf numFmtId="0" fontId="9" fillId="4" borderId="46" xfId="1" applyFont="1" applyFill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4" borderId="51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9" fillId="0" borderId="91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/>
    </xf>
    <xf numFmtId="0" fontId="9" fillId="4" borderId="58" xfId="1" applyFont="1" applyFill="1" applyBorder="1" applyAlignment="1">
      <alignment horizontal="center" vertical="center"/>
    </xf>
    <xf numFmtId="0" fontId="13" fillId="4" borderId="34" xfId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10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25" fillId="4" borderId="42" xfId="21" applyFont="1" applyFill="1" applyBorder="1" applyAlignment="1">
      <alignment horizontal="center" vertical="center" wrapText="1"/>
    </xf>
    <xf numFmtId="0" fontId="25" fillId="4" borderId="89" xfId="21" applyFont="1" applyFill="1" applyBorder="1" applyAlignment="1">
      <alignment horizontal="center" vertical="center" wrapText="1"/>
    </xf>
    <xf numFmtId="0" fontId="25" fillId="4" borderId="90" xfId="21" applyFont="1" applyFill="1" applyBorder="1" applyAlignment="1">
      <alignment horizontal="center" vertical="center" wrapText="1"/>
    </xf>
    <xf numFmtId="0" fontId="25" fillId="4" borderId="46" xfId="21" applyFont="1" applyFill="1" applyBorder="1" applyAlignment="1">
      <alignment horizontal="center" vertical="center" wrapText="1"/>
    </xf>
    <xf numFmtId="0" fontId="25" fillId="4" borderId="12" xfId="21" applyFont="1" applyFill="1" applyBorder="1" applyAlignment="1">
      <alignment horizontal="center" vertical="center" wrapText="1"/>
    </xf>
    <xf numFmtId="0" fontId="25" fillId="4" borderId="58" xfId="21" applyFont="1" applyFill="1" applyBorder="1" applyAlignment="1">
      <alignment horizontal="center" vertical="center" wrapText="1"/>
    </xf>
    <xf numFmtId="0" fontId="25" fillId="4" borderId="92" xfId="21" applyFont="1" applyFill="1" applyBorder="1" applyAlignment="1">
      <alignment horizontal="center" vertical="center" wrapText="1"/>
    </xf>
    <xf numFmtId="0" fontId="25" fillId="4" borderId="93" xfId="21" applyFont="1" applyFill="1" applyBorder="1" applyAlignment="1">
      <alignment horizontal="center" vertical="center" wrapText="1"/>
    </xf>
    <xf numFmtId="0" fontId="25" fillId="4" borderId="94" xfId="21" applyFont="1" applyFill="1" applyBorder="1" applyAlignment="1">
      <alignment horizontal="center" vertical="center" wrapText="1"/>
    </xf>
    <xf numFmtId="0" fontId="26" fillId="4" borderId="14" xfId="21" applyFont="1" applyFill="1" applyBorder="1" applyAlignment="1">
      <alignment horizontal="center" vertical="center" textRotation="180" wrapText="1"/>
    </xf>
    <xf numFmtId="0" fontId="26" fillId="4" borderId="29" xfId="21" applyFont="1" applyFill="1" applyBorder="1" applyAlignment="1">
      <alignment horizontal="center" vertical="center" textRotation="180" wrapText="1"/>
    </xf>
    <xf numFmtId="0" fontId="11" fillId="4" borderId="42" xfId="21" applyFont="1" applyFill="1" applyBorder="1" applyAlignment="1">
      <alignment horizontal="center" vertical="center"/>
    </xf>
    <xf numFmtId="0" fontId="11" fillId="4" borderId="89" xfId="21" applyFont="1" applyFill="1" applyBorder="1" applyAlignment="1">
      <alignment horizontal="center" vertical="center"/>
    </xf>
    <xf numFmtId="0" fontId="11" fillId="4" borderId="90" xfId="21" applyFont="1" applyFill="1" applyBorder="1" applyAlignment="1">
      <alignment horizontal="center" vertical="center"/>
    </xf>
    <xf numFmtId="0" fontId="11" fillId="4" borderId="46" xfId="21" applyFont="1" applyFill="1" applyBorder="1" applyAlignment="1">
      <alignment horizontal="center" vertical="center"/>
    </xf>
    <xf numFmtId="0" fontId="11" fillId="4" borderId="12" xfId="21" applyFont="1" applyFill="1" applyBorder="1" applyAlignment="1">
      <alignment horizontal="center" vertical="center"/>
    </xf>
    <xf numFmtId="0" fontId="11" fillId="4" borderId="58" xfId="21" applyFont="1" applyFill="1" applyBorder="1" applyAlignment="1">
      <alignment horizontal="center" vertical="center"/>
    </xf>
    <xf numFmtId="0" fontId="11" fillId="4" borderId="92" xfId="21" applyFont="1" applyFill="1" applyBorder="1" applyAlignment="1">
      <alignment horizontal="center" vertical="center"/>
    </xf>
    <xf numFmtId="0" fontId="11" fillId="4" borderId="93" xfId="21" applyFont="1" applyFill="1" applyBorder="1" applyAlignment="1">
      <alignment horizontal="center" vertical="center"/>
    </xf>
    <xf numFmtId="0" fontId="11" fillId="4" borderId="94" xfId="21" applyFont="1" applyFill="1" applyBorder="1" applyAlignment="1">
      <alignment horizontal="center" vertical="center"/>
    </xf>
    <xf numFmtId="0" fontId="9" fillId="4" borderId="58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/>
    </xf>
    <xf numFmtId="0" fontId="11" fillId="4" borderId="12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/>
    </xf>
    <xf numFmtId="0" fontId="11" fillId="0" borderId="62" xfId="21" applyFont="1" applyBorder="1" applyAlignment="1">
      <alignment horizontal="center" vertical="center"/>
    </xf>
    <xf numFmtId="0" fontId="11" fillId="0" borderId="64" xfId="21" applyFont="1" applyBorder="1" applyAlignment="1">
      <alignment horizontal="center" vertical="center"/>
    </xf>
    <xf numFmtId="0" fontId="11" fillId="0" borderId="63" xfId="21" applyFont="1" applyBorder="1" applyAlignment="1">
      <alignment horizontal="center" vertical="center"/>
    </xf>
    <xf numFmtId="0" fontId="9" fillId="4" borderId="42" xfId="1" applyFont="1" applyFill="1" applyBorder="1" applyAlignment="1">
      <alignment horizontal="center" vertical="center" wrapText="1"/>
    </xf>
    <xf numFmtId="0" fontId="9" fillId="4" borderId="21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43" xfId="1" applyFont="1" applyFill="1" applyBorder="1" applyAlignment="1">
      <alignment horizontal="center" vertical="center" wrapText="1"/>
    </xf>
    <xf numFmtId="0" fontId="9" fillId="4" borderId="4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41" xfId="1" applyFont="1" applyFill="1" applyBorder="1" applyAlignment="1">
      <alignment horizontal="center" vertical="center"/>
    </xf>
    <xf numFmtId="0" fontId="9" fillId="4" borderId="27" xfId="1" applyFont="1" applyFill="1" applyBorder="1" applyAlignment="1">
      <alignment horizontal="center" vertical="center"/>
    </xf>
    <xf numFmtId="0" fontId="9" fillId="4" borderId="54" xfId="1" applyFont="1" applyFill="1" applyBorder="1" applyAlignment="1">
      <alignment horizontal="center" vertical="center"/>
    </xf>
    <xf numFmtId="0" fontId="9" fillId="4" borderId="57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44" xfId="1" applyFont="1" applyFill="1" applyBorder="1" applyAlignment="1">
      <alignment horizontal="center" vertical="center" wrapText="1"/>
    </xf>
    <xf numFmtId="0" fontId="9" fillId="4" borderId="48" xfId="1" applyFont="1" applyFill="1" applyBorder="1" applyAlignment="1">
      <alignment horizontal="center" vertical="center" wrapText="1"/>
    </xf>
    <xf numFmtId="0" fontId="9" fillId="4" borderId="5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textRotation="180" wrapText="1"/>
    </xf>
    <xf numFmtId="0" fontId="9" fillId="4" borderId="0" xfId="1" applyFont="1" applyFill="1" applyAlignment="1">
      <alignment horizontal="center" vertical="center" textRotation="180" wrapText="1"/>
    </xf>
    <xf numFmtId="0" fontId="9" fillId="4" borderId="6" xfId="1" applyFont="1" applyFill="1" applyBorder="1" applyAlignment="1">
      <alignment horizontal="center" vertical="center" textRotation="180" wrapText="1"/>
    </xf>
    <xf numFmtId="0" fontId="9" fillId="0" borderId="62" xfId="21" applyFont="1" applyBorder="1" applyAlignment="1">
      <alignment horizontal="center" vertical="center"/>
    </xf>
    <xf numFmtId="0" fontId="9" fillId="0" borderId="63" xfId="21" applyFont="1" applyBorder="1" applyAlignment="1">
      <alignment horizontal="center" vertical="center"/>
    </xf>
    <xf numFmtId="0" fontId="9" fillId="4" borderId="33" xfId="1" applyFont="1" applyFill="1" applyBorder="1" applyAlignment="1">
      <alignment horizontal="center" vertical="center" wrapText="1"/>
    </xf>
    <xf numFmtId="0" fontId="9" fillId="4" borderId="38" xfId="1" applyFont="1" applyFill="1" applyBorder="1" applyAlignment="1">
      <alignment horizontal="center" vertical="center" wrapText="1"/>
    </xf>
    <xf numFmtId="0" fontId="9" fillId="4" borderId="27" xfId="1" applyFont="1" applyFill="1" applyBorder="1" applyAlignment="1">
      <alignment horizontal="center" vertical="center" wrapText="1"/>
    </xf>
    <xf numFmtId="0" fontId="9" fillId="4" borderId="44" xfId="21" applyFont="1" applyFill="1" applyBorder="1" applyAlignment="1">
      <alignment horizontal="center" vertical="center"/>
    </xf>
    <xf numFmtId="0" fontId="9" fillId="4" borderId="48" xfId="21" applyFont="1" applyFill="1" applyBorder="1" applyAlignment="1">
      <alignment horizontal="center" vertical="center"/>
    </xf>
    <xf numFmtId="0" fontId="9" fillId="4" borderId="65" xfId="2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8" fillId="0" borderId="13" xfId="1" applyBorder="1" applyAlignment="1">
      <alignment horizontal="left"/>
    </xf>
    <xf numFmtId="0" fontId="8" fillId="0" borderId="14" xfId="1" applyBorder="1" applyAlignment="1">
      <alignment horizontal="left"/>
    </xf>
    <xf numFmtId="0" fontId="8" fillId="0" borderId="15" xfId="1" applyBorder="1" applyAlignment="1">
      <alignment horizontal="left"/>
    </xf>
    <xf numFmtId="0" fontId="8" fillId="0" borderId="13" xfId="1" quotePrefix="1" applyBorder="1" applyAlignment="1">
      <alignment horizontal="left"/>
    </xf>
    <xf numFmtId="4" fontId="8" fillId="0" borderId="13" xfId="1" applyNumberFormat="1" applyBorder="1" applyAlignment="1">
      <alignment horizontal="left"/>
    </xf>
    <xf numFmtId="0" fontId="11" fillId="4" borderId="28" xfId="1" applyFont="1" applyFill="1" applyBorder="1" applyAlignment="1">
      <alignment horizontal="center" vertical="center"/>
    </xf>
    <xf numFmtId="0" fontId="11" fillId="4" borderId="29" xfId="1" applyFont="1" applyFill="1" applyBorder="1" applyAlignment="1">
      <alignment horizontal="center" vertical="center"/>
    </xf>
    <xf numFmtId="0" fontId="11" fillId="4" borderId="32" xfId="1" applyFont="1" applyFill="1" applyBorder="1" applyAlignment="1">
      <alignment horizontal="center" vertical="center"/>
    </xf>
    <xf numFmtId="0" fontId="24" fillId="4" borderId="42" xfId="21" applyFont="1" applyFill="1" applyBorder="1" applyAlignment="1">
      <alignment horizontal="center" vertical="center"/>
    </xf>
    <xf numFmtId="0" fontId="24" fillId="4" borderId="89" xfId="21" applyFont="1" applyFill="1" applyBorder="1" applyAlignment="1">
      <alignment horizontal="center" vertical="center"/>
    </xf>
    <xf numFmtId="0" fontId="24" fillId="4" borderId="90" xfId="21" applyFont="1" applyFill="1" applyBorder="1" applyAlignment="1">
      <alignment horizontal="center" vertical="center"/>
    </xf>
    <xf numFmtId="0" fontId="24" fillId="4" borderId="50" xfId="21" applyFont="1" applyFill="1" applyBorder="1" applyAlignment="1">
      <alignment horizontal="center" vertical="center"/>
    </xf>
    <xf numFmtId="0" fontId="24" fillId="4" borderId="40" xfId="21" applyFont="1" applyFill="1" applyBorder="1" applyAlignment="1">
      <alignment horizontal="center" vertical="center"/>
    </xf>
    <xf numFmtId="0" fontId="24" fillId="4" borderId="12" xfId="21" applyFont="1" applyFill="1" applyBorder="1" applyAlignment="1">
      <alignment horizontal="center" vertical="center"/>
    </xf>
    <xf numFmtId="0" fontId="24" fillId="4" borderId="59" xfId="21" applyFont="1" applyFill="1" applyBorder="1" applyAlignment="1">
      <alignment horizontal="center" vertical="center"/>
    </xf>
  </cellXfs>
  <cellStyles count="24">
    <cellStyle name="Comma [0]" xfId="23" builtinId="6"/>
    <cellStyle name="Comma [0] 2" xfId="3" xr:uid="{00000000-0005-0000-0000-000001000000}"/>
    <cellStyle name="Comma [0] 2 2" xfId="4" xr:uid="{00000000-0005-0000-0000-000002000000}"/>
    <cellStyle name="Comma [0] 3" xfId="5" xr:uid="{00000000-0005-0000-0000-000003000000}"/>
    <cellStyle name="Comma [0] 3 2" xfId="6" xr:uid="{00000000-0005-0000-0000-000004000000}"/>
    <cellStyle name="Comma [0] 3 2 2" xfId="7" xr:uid="{00000000-0005-0000-0000-000005000000}"/>
    <cellStyle name="Comma [0] 3 3" xfId="8" xr:uid="{00000000-0005-0000-0000-000006000000}"/>
    <cellStyle name="Comma [0] 4" xfId="19" xr:uid="{00000000-0005-0000-0000-000007000000}"/>
    <cellStyle name="Comma 2" xfId="9" xr:uid="{00000000-0005-0000-0000-000008000000}"/>
    <cellStyle name="Comma 3" xfId="10" xr:uid="{00000000-0005-0000-0000-000009000000}"/>
    <cellStyle name="Comma 4" xfId="11" xr:uid="{00000000-0005-0000-0000-00000A000000}"/>
    <cellStyle name="Comma 4 2" xfId="12" xr:uid="{00000000-0005-0000-0000-00000B000000}"/>
    <cellStyle name="Comma 4 3" xfId="20" xr:uid="{00000000-0005-0000-0000-00000C000000}"/>
    <cellStyle name="Comma 5" xfId="22" xr:uid="{00000000-0005-0000-0000-00000D000000}"/>
    <cellStyle name="Normal" xfId="0" builtinId="0"/>
    <cellStyle name="Normal 2" xfId="13" xr:uid="{00000000-0005-0000-0000-00000F000000}"/>
    <cellStyle name="Normal 2 2" xfId="1" xr:uid="{00000000-0005-0000-0000-000010000000}"/>
    <cellStyle name="Normal 2 2 2" xfId="2" xr:uid="{00000000-0005-0000-0000-000011000000}"/>
    <cellStyle name="Normal 2 2 2 2" xfId="14" xr:uid="{00000000-0005-0000-0000-000012000000}"/>
    <cellStyle name="Normal 2_IRI &amp; SDI - PPK 7 (B)" xfId="15" xr:uid="{00000000-0005-0000-0000-000013000000}"/>
    <cellStyle name="Normal 3" xfId="16" xr:uid="{00000000-0005-0000-0000-000014000000}"/>
    <cellStyle name="Normal 4" xfId="18" xr:uid="{00000000-0005-0000-0000-000015000000}"/>
    <cellStyle name="Normal 5" xfId="21" xr:uid="{00000000-0005-0000-0000-000016000000}"/>
    <cellStyle name="Percent 2" xfId="17" xr:uid="{00000000-0005-0000-0000-000017000000}"/>
  </cellStyles>
  <dxfs count="7"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08080"/>
      <color rgb="FFB2B2B2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externalLink" Target="externalLinks/externalLink70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87" Type="http://schemas.openxmlformats.org/officeDocument/2006/relationships/externalLink" Target="externalLinks/externalLink8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90" Type="http://schemas.openxmlformats.org/officeDocument/2006/relationships/theme" Target="theme/theme1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142875</xdr:colOff>
          <xdr:row>3</xdr:row>
          <xdr:rowOff>76200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142875</xdr:colOff>
          <xdr:row>3</xdr:row>
          <xdr:rowOff>76200</xdr:rowOff>
        </xdr:to>
        <xdr:sp macro="" textlink="">
          <xdr:nvSpPr>
            <xdr:cNvPr id="35841" name="Picture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142875</xdr:colOff>
          <xdr:row>3</xdr:row>
          <xdr:rowOff>76200</xdr:rowOff>
        </xdr:to>
        <xdr:sp macro="" textlink="">
          <xdr:nvSpPr>
            <xdr:cNvPr id="39937" name="Picture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DANG%20PU/Dokumen%202016/verifikasi%20dak%20jalan%202017/verifikasi%20lama/LAMTIM%20TO%20MEDAN/Timur2003,fisik/Oe%20Jembatan/Jembat%20bara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K.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K.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K.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k.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K.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K.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K.7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K.8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K.9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K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.%20Proyek%202008/6.%20Dinas%20Bina%20Marga%20Lamtim%202008/2.%20Usulan%20dan%20Tabel%20%20Dinas/Usulan%20dari%20BM%20timur%202008-2009/Bencana%20Ala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K.1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K.1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K.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K.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K.1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K.1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K.17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K.18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K.19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K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.%20Proyek%202008\6.%20Dinas%20Bina%20Marga%20Lamtim%202008\2.%20Usulan%20dan%20Tabel%20%20Dinas\Usulan%20dari%20BM%20timur%202008-2009\Bencana%20Ala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K.2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K.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K.2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K.2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K.2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K.2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K.27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K.28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K.29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K.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mur2003,fisik\Oe%20Jembatan\Jembat%20bara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K.31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K.3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K.3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K.3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K.35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K.36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K.37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K.38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K.39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K.4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imur2003,fisik/Oe%20Jembatan/Jembat%20bara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K.4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K.4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K.4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K.4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K.45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K.46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K.47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K.48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K.49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K.5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.%20Proyek%202008\6.%20Dinas%20Bina%20Marga%20Lamtim%202008\2.%20Usulan%20dan%20Tabel%20%20Dinas\Usulan%20dari%20BM%20timur%202008-2009\OE%20Sukarno%20Hatta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K.51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K.5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K.53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K.5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K.5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K.56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K.57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K.58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K.59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K.6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4.%20Proyek%202008/6.%20Dinas%20Bina%20Marga%20Lamtim%202008/2.%20Usulan%20dan%20Tabel%20%20Dinas/Usulan%20dari%20BM%20timur%202008-2009/OE%20Sukarno%20Hatta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K.61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K.6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K.63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K.6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K.65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K.66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K.67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K.68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K.69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K.7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rang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K.71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K.72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K.73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1.%20Verifikasi%20DAK/02.%20DD/2020/1.%20Perhitungan%20Survei%20SDI/REVISI%20PAK%20NANANG/DARI%20ARDO/KABUPATEN%20SUMBA%20BARAT%20Perhitungan%20Survey%20SDI%20FINAL%20%20(input%20SiPDJD%202020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urkon%20lamtim%202019\agus\pOWELL%20fOLDER\PEKERJAAN%202011\BALAI%20PALEMBANG%2021-02-2011\DATA%20NAASAR%20WILAYAH%20II\NAASRA%20PPK%206\037_Ad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al"/>
      <sheetName val="Rab"/>
      <sheetName val="OE"/>
      <sheetName val="Informasi"/>
      <sheetName val="Mobil"/>
      <sheetName val="Quary"/>
      <sheetName val="Basic"/>
      <sheetName val="Alat"/>
      <sheetName val="Div.2"/>
      <sheetName val="Div.3"/>
      <sheetName val="Div.5"/>
      <sheetName val="Div.6"/>
      <sheetName val="Div.8"/>
      <sheetName val="D7"/>
      <sheetName val="Sumuran"/>
      <sheetName val="D7b"/>
      <sheetName val="Rekap-6"/>
      <sheetName val="Rab-6"/>
      <sheetName val="Mobil-6"/>
      <sheetName val="Onsite"/>
      <sheetName val="Alat (2)"/>
      <sheetName val="Div. 8 Panas"/>
      <sheetName val="Selokan"/>
      <sheetName val="Rutin Bahu (2)"/>
      <sheetName val="Vol Gr2"/>
      <sheetName val="Vol Talud"/>
      <sheetName val="Volume"/>
      <sheetName val="Rekap"/>
      <sheetName val="Kuantitas"/>
      <sheetName val="Upah"/>
      <sheetName val="Mobilisasi"/>
      <sheetName val="Input Data"/>
      <sheetName val="Div1"/>
      <sheetName val="Sam (2)"/>
      <sheetName val="An-2"/>
      <sheetName val="Md-2"/>
      <sheetName val="Buis beton"/>
      <sheetName val="An-3"/>
      <sheetName val="Md-3"/>
      <sheetName val="An-4"/>
      <sheetName val="Md-4"/>
      <sheetName val="An-5"/>
      <sheetName val="Md-5"/>
      <sheetName val="An.6"/>
      <sheetName val="Md.6"/>
      <sheetName val="An.7"/>
      <sheetName val="Md.7"/>
      <sheetName val="Bronjong"/>
      <sheetName val="An.8"/>
      <sheetName val="Md.8"/>
      <sheetName val="An Supl"/>
      <sheetName val="Md Supl"/>
      <sheetName val="Perhitungan Material"/>
      <sheetName val="Scd Mat 4 Bln"/>
      <sheetName val="Scd 4 bln"/>
      <sheetName val="Siring Pas."/>
      <sheetName val="Terblng Rk-2"/>
      <sheetName val="Rk.th2"/>
      <sheetName val="kw-th2"/>
      <sheetName val="Mb.th2"/>
      <sheetName val="Terblng Rk-1"/>
      <sheetName val="Rk.th1"/>
      <sheetName val="Kw-th1"/>
      <sheetName val="Mb.th1"/>
      <sheetName val="An Hotmix"/>
      <sheetName val="Md Hotmix"/>
      <sheetName val="An.7 Pancang"/>
      <sheetName val="Md7.pancang"/>
      <sheetName val="Md.7 Sumur"/>
      <sheetName val="An 7 Sumur"/>
      <sheetName val="Rangka Baja"/>
      <sheetName val="An.11"/>
      <sheetName val="Md 11"/>
      <sheetName val="Inf."/>
      <sheetName val="Isian"/>
      <sheetName val="BACK UP DATA"/>
      <sheetName val="PEMBESIAN"/>
      <sheetName val="BACK UP NYERUPA"/>
      <sheetName val="Anal_K"/>
      <sheetName val="HS"/>
      <sheetName val="ANALIS ATB DR METRO"/>
      <sheetName val="Alat_2"/>
      <sheetName val="NP1"/>
      <sheetName val="NP2"/>
      <sheetName val="NP3"/>
      <sheetName val="NP4"/>
      <sheetName val="NP5"/>
      <sheetName val="NP6"/>
      <sheetName val="NP7"/>
      <sheetName val="NP8"/>
      <sheetName val="AQ"/>
      <sheetName val="Ag.H&amp;K"/>
      <sheetName val="Ag.A"/>
      <sheetName val="Ag.B"/>
      <sheetName val="Ag.C"/>
      <sheetName val="BA Gorong2 "/>
      <sheetName val="JADW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DAFTAR</v>
          </cell>
        </row>
        <row r="8">
          <cell r="F8">
            <v>2500</v>
          </cell>
        </row>
        <row r="10">
          <cell r="F10">
            <v>3214.29</v>
          </cell>
        </row>
        <row r="12">
          <cell r="F12">
            <v>3571.43</v>
          </cell>
        </row>
        <row r="14">
          <cell r="F14">
            <v>3571.43</v>
          </cell>
        </row>
        <row r="16">
          <cell r="F16">
            <v>2500</v>
          </cell>
        </row>
        <row r="18">
          <cell r="F18">
            <v>3571.43</v>
          </cell>
        </row>
        <row r="20">
          <cell r="F20">
            <v>2500</v>
          </cell>
        </row>
        <row r="22">
          <cell r="F22">
            <v>3571.43</v>
          </cell>
        </row>
        <row r="24">
          <cell r="F24">
            <v>2500</v>
          </cell>
        </row>
        <row r="26">
          <cell r="F26">
            <v>3571.43</v>
          </cell>
        </row>
        <row r="40">
          <cell r="F40">
            <v>48500</v>
          </cell>
        </row>
        <row r="41">
          <cell r="F41">
            <v>0</v>
          </cell>
        </row>
        <row r="42">
          <cell r="F42">
            <v>0</v>
          </cell>
        </row>
        <row r="44">
          <cell r="F44">
            <v>0</v>
          </cell>
        </row>
        <row r="46">
          <cell r="F46">
            <v>100</v>
          </cell>
        </row>
        <row r="47">
          <cell r="F47">
            <v>54300</v>
          </cell>
        </row>
        <row r="50">
          <cell r="F50">
            <v>0</v>
          </cell>
        </row>
        <row r="51">
          <cell r="F51">
            <v>5000</v>
          </cell>
        </row>
        <row r="52">
          <cell r="F52">
            <v>10000</v>
          </cell>
        </row>
        <row r="53">
          <cell r="F53">
            <v>3500</v>
          </cell>
        </row>
        <row r="54">
          <cell r="F54">
            <v>1500</v>
          </cell>
        </row>
        <row r="55">
          <cell r="F55">
            <v>30000</v>
          </cell>
        </row>
        <row r="57">
          <cell r="F57">
            <v>0</v>
          </cell>
        </row>
        <row r="58">
          <cell r="F58">
            <v>6250</v>
          </cell>
        </row>
        <row r="59">
          <cell r="F59">
            <v>0</v>
          </cell>
        </row>
        <row r="60">
          <cell r="F60">
            <v>2800</v>
          </cell>
        </row>
        <row r="61">
          <cell r="F61">
            <v>75000</v>
          </cell>
        </row>
        <row r="63">
          <cell r="F63">
            <v>5500</v>
          </cell>
        </row>
        <row r="64">
          <cell r="F64">
            <v>800000</v>
          </cell>
        </row>
        <row r="65">
          <cell r="F65">
            <v>1825</v>
          </cell>
        </row>
        <row r="66">
          <cell r="F66">
            <v>1700</v>
          </cell>
        </row>
        <row r="67">
          <cell r="F67">
            <v>17500</v>
          </cell>
        </row>
        <row r="68">
          <cell r="F68">
            <v>0</v>
          </cell>
        </row>
        <row r="69">
          <cell r="F69">
            <v>300000</v>
          </cell>
        </row>
        <row r="71">
          <cell r="F71">
            <v>0</v>
          </cell>
        </row>
        <row r="72">
          <cell r="F72">
            <v>0</v>
          </cell>
        </row>
        <row r="74">
          <cell r="F74">
            <v>0</v>
          </cell>
        </row>
        <row r="75">
          <cell r="F75">
            <v>460243.23</v>
          </cell>
        </row>
        <row r="76">
          <cell r="F76">
            <v>0</v>
          </cell>
        </row>
        <row r="77">
          <cell r="F77">
            <v>5800</v>
          </cell>
        </row>
        <row r="79">
          <cell r="F79">
            <v>46000</v>
          </cell>
        </row>
        <row r="80">
          <cell r="F80">
            <v>0</v>
          </cell>
        </row>
        <row r="81">
          <cell r="F81">
            <v>0</v>
          </cell>
        </row>
        <row r="82">
          <cell r="F82">
            <v>300000</v>
          </cell>
        </row>
        <row r="83">
          <cell r="F83">
            <v>0</v>
          </cell>
        </row>
      </sheetData>
      <sheetData sheetId="7" refreshError="1">
        <row r="1">
          <cell r="B1" t="str">
            <v>ANALISA BIAYA SEWA PERALATAN PER JAM KERJA</v>
          </cell>
        </row>
        <row r="8">
          <cell r="AM8">
            <v>839246.43</v>
          </cell>
        </row>
        <row r="9">
          <cell r="AM9">
            <v>173395.18</v>
          </cell>
        </row>
        <row r="10">
          <cell r="AM10">
            <v>24722.73</v>
          </cell>
        </row>
        <row r="11">
          <cell r="AM11">
            <v>178010.43</v>
          </cell>
        </row>
        <row r="12">
          <cell r="AM12">
            <v>47770.43</v>
          </cell>
        </row>
        <row r="13">
          <cell r="AM13">
            <v>19003.98</v>
          </cell>
        </row>
        <row r="14">
          <cell r="AM14">
            <v>139089.43</v>
          </cell>
        </row>
        <row r="15">
          <cell r="AM15">
            <v>82267.929999999993</v>
          </cell>
        </row>
        <row r="16">
          <cell r="AM16">
            <v>102654.43</v>
          </cell>
        </row>
        <row r="17">
          <cell r="AM17">
            <v>251051.43</v>
          </cell>
        </row>
        <row r="18">
          <cell r="AM18">
            <v>66219.429999999993</v>
          </cell>
        </row>
        <row r="19">
          <cell r="AM19">
            <v>82443.12999999999</v>
          </cell>
        </row>
        <row r="20">
          <cell r="AM20">
            <v>182896.93</v>
          </cell>
        </row>
        <row r="21">
          <cell r="AM21">
            <v>0</v>
          </cell>
        </row>
        <row r="22">
          <cell r="AM22">
            <v>143049.93</v>
          </cell>
        </row>
        <row r="23">
          <cell r="AM23">
            <v>70179.929999999993</v>
          </cell>
        </row>
        <row r="24">
          <cell r="AM24">
            <v>68242.429999999993</v>
          </cell>
        </row>
        <row r="25">
          <cell r="AM25">
            <v>82816.429999999993</v>
          </cell>
        </row>
        <row r="26">
          <cell r="AM26">
            <v>106334.43</v>
          </cell>
        </row>
        <row r="27">
          <cell r="AM27">
            <v>19439.830000000002</v>
          </cell>
        </row>
        <row r="28">
          <cell r="AM28">
            <v>393393.43</v>
          </cell>
        </row>
        <row r="29">
          <cell r="AM29">
            <v>11976.68</v>
          </cell>
        </row>
        <row r="30">
          <cell r="AM30">
            <v>82267.929999999993</v>
          </cell>
        </row>
        <row r="31">
          <cell r="AM31">
            <v>28134.059999999998</v>
          </cell>
        </row>
        <row r="32">
          <cell r="AM32">
            <v>19875.68</v>
          </cell>
        </row>
        <row r="33">
          <cell r="AM33">
            <v>0</v>
          </cell>
        </row>
        <row r="34">
          <cell r="AM34">
            <v>0</v>
          </cell>
        </row>
        <row r="35">
          <cell r="AM35">
            <v>0</v>
          </cell>
        </row>
        <row r="36">
          <cell r="AM36">
            <v>0</v>
          </cell>
        </row>
        <row r="37">
          <cell r="AM37">
            <v>75673.33</v>
          </cell>
        </row>
        <row r="38">
          <cell r="AM38">
            <v>249347.63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24">
          <cell r="BH224">
            <v>32800</v>
          </cell>
          <cell r="BI224">
            <v>2200</v>
          </cell>
          <cell r="BJ224">
            <v>1200</v>
          </cell>
          <cell r="BK224">
            <v>5480</v>
          </cell>
        </row>
        <row r="227">
          <cell r="BN227">
            <v>41680</v>
          </cell>
        </row>
      </sheetData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6400</v>
          </cell>
          <cell r="BI50">
            <v>600</v>
          </cell>
          <cell r="BJ50">
            <v>0</v>
          </cell>
          <cell r="BK50">
            <v>0</v>
          </cell>
        </row>
        <row r="53">
          <cell r="BN53">
            <v>7000</v>
          </cell>
        </row>
      </sheetData>
      <sheetData sheetId="5">
        <row r="49">
          <cell r="BW49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6">
          <cell r="BH26">
            <v>800</v>
          </cell>
          <cell r="BI26">
            <v>0</v>
          </cell>
          <cell r="BJ26">
            <v>0</v>
          </cell>
          <cell r="BK26">
            <v>1400</v>
          </cell>
        </row>
        <row r="29">
          <cell r="BN29">
            <v>2200</v>
          </cell>
        </row>
      </sheetData>
      <sheetData sheetId="5">
        <row r="19">
          <cell r="BU19">
            <v>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4">
          <cell r="BH34">
            <v>0</v>
          </cell>
          <cell r="BI34">
            <v>0</v>
          </cell>
          <cell r="BJ34">
            <v>1200</v>
          </cell>
          <cell r="BK34">
            <v>2600</v>
          </cell>
        </row>
        <row r="37">
          <cell r="BN37">
            <v>3800</v>
          </cell>
        </row>
      </sheetData>
      <sheetData sheetId="5">
        <row r="17">
          <cell r="BT17">
            <v>1200</v>
          </cell>
        </row>
        <row r="20">
          <cell r="BW20">
            <v>1200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BH40">
            <v>400</v>
          </cell>
          <cell r="BI40">
            <v>600</v>
          </cell>
          <cell r="BJ40">
            <v>800</v>
          </cell>
          <cell r="BK40">
            <v>3200</v>
          </cell>
        </row>
        <row r="43">
          <cell r="BN43">
            <v>5000</v>
          </cell>
        </row>
      </sheetData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BH40">
            <v>1800</v>
          </cell>
          <cell r="BI40">
            <v>1400</v>
          </cell>
          <cell r="BJ40">
            <v>200</v>
          </cell>
          <cell r="BK40">
            <v>1600</v>
          </cell>
        </row>
        <row r="43">
          <cell r="BN43">
            <v>5000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H31">
            <v>1000</v>
          </cell>
          <cell r="BI31">
            <v>1800</v>
          </cell>
          <cell r="BJ31">
            <v>400</v>
          </cell>
        </row>
        <row r="34">
          <cell r="BN34">
            <v>3200</v>
          </cell>
        </row>
      </sheetData>
      <sheetData sheetId="5">
        <row r="23">
          <cell r="BW23">
            <v>1800</v>
          </cell>
        </row>
        <row r="24">
          <cell r="BU24">
            <v>1800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BH40">
            <v>200</v>
          </cell>
          <cell r="BI40">
            <v>2400</v>
          </cell>
          <cell r="BJ40">
            <v>1800</v>
          </cell>
          <cell r="BK40">
            <v>600</v>
          </cell>
        </row>
        <row r="43">
          <cell r="BN43">
            <v>5000</v>
          </cell>
        </row>
      </sheetData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0">
          <cell r="BU30">
            <v>3000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3000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Input Data"/>
      <sheetName val="Rekap"/>
      <sheetName val="Informasi Umum"/>
      <sheetName val="Kuantitas"/>
      <sheetName val="Mobilisasi"/>
      <sheetName val="Md-2"/>
      <sheetName val="An-2"/>
      <sheetName val="Buis beton"/>
      <sheetName val="Md-3"/>
      <sheetName val="An-3"/>
      <sheetName val="Md-5"/>
      <sheetName val="An-5"/>
      <sheetName val="Md-Base "/>
      <sheetName val="An Base"/>
      <sheetName val="Md.6"/>
      <sheetName val="An.6"/>
      <sheetName val="Md Hotmix"/>
      <sheetName val="An Hotmix"/>
      <sheetName val="Md.7"/>
      <sheetName val="An.7"/>
      <sheetName val="Bronjong"/>
      <sheetName val="Md.8"/>
      <sheetName val="An.8"/>
      <sheetName val="Upah"/>
      <sheetName val="Basic"/>
      <sheetName val="Alat"/>
      <sheetName val="Alat (2)"/>
      <sheetName val="Qu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1200</v>
          </cell>
          <cell r="BI30">
            <v>200</v>
          </cell>
          <cell r="BJ30">
            <v>200</v>
          </cell>
          <cell r="BK30">
            <v>1400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BH45">
            <v>4200</v>
          </cell>
          <cell r="BI45">
            <v>800</v>
          </cell>
          <cell r="BJ45">
            <v>200</v>
          </cell>
          <cell r="BK45">
            <v>800</v>
          </cell>
        </row>
        <row r="48">
          <cell r="BN48">
            <v>6000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BH45">
            <v>5200</v>
          </cell>
          <cell r="BI45">
            <v>800</v>
          </cell>
          <cell r="BJ45">
            <v>0</v>
          </cell>
          <cell r="BK45">
            <v>0</v>
          </cell>
        </row>
        <row r="48">
          <cell r="BN48">
            <v>6000</v>
          </cell>
        </row>
      </sheetData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6">
          <cell r="BH56">
            <v>2200</v>
          </cell>
          <cell r="BI56">
            <v>1000</v>
          </cell>
          <cell r="BJ56">
            <v>400</v>
          </cell>
          <cell r="BK56">
            <v>4600</v>
          </cell>
        </row>
        <row r="59">
          <cell r="BN59">
            <v>8200</v>
          </cell>
        </row>
      </sheetData>
      <sheetData sheetId="5">
        <row r="39">
          <cell r="BU39">
            <v>4800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3">
          <cell r="BH43">
            <v>1200</v>
          </cell>
          <cell r="BI43">
            <v>800</v>
          </cell>
          <cell r="BJ43">
            <v>2000</v>
          </cell>
          <cell r="BK43">
            <v>1600</v>
          </cell>
        </row>
        <row r="46">
          <cell r="BN46">
            <v>5600</v>
          </cell>
        </row>
      </sheetData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BH28">
            <v>200</v>
          </cell>
          <cell r="BI28">
            <v>400</v>
          </cell>
          <cell r="BJ28">
            <v>200</v>
          </cell>
          <cell r="BK28">
            <v>1700</v>
          </cell>
        </row>
        <row r="31">
          <cell r="BN31">
            <v>2500</v>
          </cell>
        </row>
      </sheetData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5">
          <cell r="BH75">
            <v>11800</v>
          </cell>
          <cell r="BI75">
            <v>200</v>
          </cell>
          <cell r="BJ75">
            <v>0</v>
          </cell>
          <cell r="BK75">
            <v>0</v>
          </cell>
        </row>
        <row r="78">
          <cell r="BN78">
            <v>12000</v>
          </cell>
        </row>
      </sheetData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">
          <cell r="BH20">
            <v>600</v>
          </cell>
          <cell r="BI20">
            <v>200</v>
          </cell>
          <cell r="BJ20">
            <v>200</v>
          </cell>
        </row>
        <row r="23">
          <cell r="BN23">
            <v>1000</v>
          </cell>
        </row>
      </sheetData>
      <sheetData sheetId="5">
        <row r="24">
          <cell r="BW24">
            <v>2000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BJ16">
            <v>200</v>
          </cell>
        </row>
        <row r="19">
          <cell r="BN19">
            <v>200</v>
          </cell>
        </row>
      </sheetData>
      <sheetData sheetId="5">
        <row r="28">
          <cell r="BW28">
            <v>2800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BH40">
            <v>0</v>
          </cell>
          <cell r="BI40">
            <v>1200</v>
          </cell>
          <cell r="BJ40">
            <v>1800</v>
          </cell>
          <cell r="BK40">
            <v>2000</v>
          </cell>
        </row>
        <row r="43">
          <cell r="BN43">
            <v>5000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Input Data"/>
      <sheetName val="Rekap"/>
      <sheetName val="Informasi Umum"/>
      <sheetName val="Kuantitas"/>
      <sheetName val="Mobilisasi"/>
      <sheetName val="Md-2"/>
      <sheetName val="An-2"/>
      <sheetName val="Buis beton"/>
      <sheetName val="Md-3"/>
      <sheetName val="An-3"/>
      <sheetName val="Md-5"/>
      <sheetName val="An-5"/>
      <sheetName val="Md-Base "/>
      <sheetName val="An Base"/>
      <sheetName val="Md.6"/>
      <sheetName val="An.6"/>
      <sheetName val="Md Hotmix"/>
      <sheetName val="An Hotmix"/>
      <sheetName val="Md.7"/>
      <sheetName val="An.7"/>
      <sheetName val="Bronjong"/>
      <sheetName val="Md.8"/>
      <sheetName val="An.8"/>
      <sheetName val="Upah"/>
      <sheetName val="Basic"/>
      <sheetName val="Alat"/>
      <sheetName val="Alat (2)"/>
      <sheetName val="Qu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BH55">
            <v>5600</v>
          </cell>
          <cell r="BI55">
            <v>800</v>
          </cell>
          <cell r="BJ55">
            <v>0</v>
          </cell>
          <cell r="BK55">
            <v>1600</v>
          </cell>
        </row>
        <row r="58">
          <cell r="BN58">
            <v>8000</v>
          </cell>
        </row>
      </sheetData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/>
      <sheetData sheetId="1"/>
      <sheetData sheetId="2"/>
      <sheetData sheetId="3"/>
      <sheetData sheetId="4">
        <row r="40">
          <cell r="BH40">
            <v>0</v>
          </cell>
          <cell r="BI40">
            <v>1400</v>
          </cell>
          <cell r="BJ40">
            <v>3200</v>
          </cell>
          <cell r="BK40">
            <v>400</v>
          </cell>
        </row>
        <row r="43">
          <cell r="BN43">
            <v>5000</v>
          </cell>
        </row>
      </sheetData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1">
          <cell r="BH21">
            <v>0</v>
          </cell>
          <cell r="BI21">
            <v>200</v>
          </cell>
          <cell r="BJ21">
            <v>600</v>
          </cell>
          <cell r="BK21">
            <v>400</v>
          </cell>
        </row>
        <row r="24">
          <cell r="BN24">
            <v>1200</v>
          </cell>
        </row>
      </sheetData>
      <sheetData sheetId="5">
        <row r="49">
          <cell r="BW49">
            <v>3800</v>
          </cell>
        </row>
        <row r="50">
          <cell r="BU50">
            <v>3800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0">
          <cell r="BH20">
            <v>400</v>
          </cell>
          <cell r="BI20">
            <v>400</v>
          </cell>
          <cell r="BJ20">
            <v>200</v>
          </cell>
        </row>
        <row r="23">
          <cell r="BN23">
            <v>1000</v>
          </cell>
        </row>
      </sheetData>
      <sheetData sheetId="5">
        <row r="34">
          <cell r="BW34">
            <v>4000</v>
          </cell>
        </row>
        <row r="35">
          <cell r="BU35">
            <v>4000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BH28">
            <v>1200</v>
          </cell>
          <cell r="BI28">
            <v>1100</v>
          </cell>
          <cell r="BJ28">
            <v>200</v>
          </cell>
          <cell r="BK28">
            <v>0</v>
          </cell>
        </row>
        <row r="31">
          <cell r="BN31">
            <v>2500</v>
          </cell>
        </row>
      </sheetData>
      <sheetData sheetId="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BH29">
            <v>1600</v>
          </cell>
          <cell r="BI29">
            <v>800</v>
          </cell>
          <cell r="BJ29">
            <v>0</v>
          </cell>
          <cell r="BK29">
            <v>400</v>
          </cell>
        </row>
        <row r="32">
          <cell r="BN32">
            <v>2800</v>
          </cell>
        </row>
      </sheetData>
      <sheetData sheetId="5">
        <row r="15">
          <cell r="BW15">
            <v>200</v>
          </cell>
        </row>
        <row r="16">
          <cell r="BU16">
            <v>200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9">
          <cell r="BH49">
            <v>2400</v>
          </cell>
          <cell r="BI49">
            <v>4000</v>
          </cell>
          <cell r="BJ49">
            <v>400</v>
          </cell>
        </row>
        <row r="52">
          <cell r="BN52">
            <v>6800</v>
          </cell>
        </row>
      </sheetData>
      <sheetData sheetId="5">
        <row r="32">
          <cell r="BU32">
            <v>3400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0</v>
          </cell>
          <cell r="BI30">
            <v>0</v>
          </cell>
          <cell r="BJ30">
            <v>1600</v>
          </cell>
          <cell r="BK30">
            <v>1400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7">
          <cell r="BH37">
            <v>400</v>
          </cell>
          <cell r="BI37">
            <v>1600</v>
          </cell>
          <cell r="BJ37">
            <v>1000</v>
          </cell>
          <cell r="BK37">
            <v>1400</v>
          </cell>
        </row>
        <row r="40">
          <cell r="BN40">
            <v>4400</v>
          </cell>
        </row>
      </sheetData>
      <sheetData sheetId="5">
        <row r="17">
          <cell r="BW17">
            <v>600</v>
          </cell>
        </row>
        <row r="18">
          <cell r="BU18">
            <v>600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BH35">
            <v>0</v>
          </cell>
          <cell r="BI35">
            <v>600</v>
          </cell>
          <cell r="BJ35">
            <v>2800</v>
          </cell>
          <cell r="BK35">
            <v>600</v>
          </cell>
        </row>
        <row r="38">
          <cell r="BN38">
            <v>4000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al"/>
      <sheetName val="Rab"/>
      <sheetName val="OE"/>
      <sheetName val="Informasi"/>
      <sheetName val="Mobil"/>
      <sheetName val="Quary"/>
      <sheetName val="Basic"/>
      <sheetName val="Alat"/>
      <sheetName val="Div.2"/>
      <sheetName val="Div.3"/>
      <sheetName val="Div.5"/>
      <sheetName val="Div.6"/>
      <sheetName val="Div.8"/>
      <sheetName val="D7"/>
      <sheetName val="Sumuran"/>
      <sheetName val="D7b"/>
      <sheetName val="Rekap-6"/>
      <sheetName val="Rab-6"/>
      <sheetName val="Mobil-6"/>
      <sheetName val="Onsite"/>
      <sheetName val="Alat (2)"/>
      <sheetName val="Div. 8 Panas"/>
      <sheetName val="Selokan"/>
      <sheetName val="Rutin Bahu (2)"/>
      <sheetName val="Vol Gr2"/>
      <sheetName val="Vol Talud"/>
      <sheetName val="Volume"/>
      <sheetName val="Rekap"/>
      <sheetName val="Kuantitas"/>
      <sheetName val="Upah"/>
      <sheetName val="Mobilisasi"/>
      <sheetName val="Input Data"/>
      <sheetName val="Div1"/>
      <sheetName val="Sam (2)"/>
      <sheetName val="An-2"/>
      <sheetName val="Md-2"/>
      <sheetName val="Buis beton"/>
      <sheetName val="An-3"/>
      <sheetName val="Md-3"/>
      <sheetName val="An-4"/>
      <sheetName val="Md-4"/>
      <sheetName val="An-5"/>
      <sheetName val="Md-5"/>
      <sheetName val="An.6"/>
      <sheetName val="Md.6"/>
      <sheetName val="An.7"/>
      <sheetName val="Md.7"/>
      <sheetName val="Bronjong"/>
      <sheetName val="An.8"/>
      <sheetName val="Md.8"/>
      <sheetName val="An Supl"/>
      <sheetName val="Md Supl"/>
      <sheetName val="Perhitungan Material"/>
      <sheetName val="Scd Mat 4 Bln"/>
      <sheetName val="Scd 4 bln"/>
      <sheetName val="Siring Pas."/>
      <sheetName val="Terblng Rk-2"/>
      <sheetName val="Rk.th2"/>
      <sheetName val="kw-th2"/>
      <sheetName val="Mb.th2"/>
      <sheetName val="Terblng Rk-1"/>
      <sheetName val="Rk.th1"/>
      <sheetName val="Kw-th1"/>
      <sheetName val="Mb.th1"/>
      <sheetName val="An Hotmix"/>
      <sheetName val="Md Hotmix"/>
      <sheetName val="An.7 Pancang"/>
      <sheetName val="Md7.pancang"/>
      <sheetName val="Md.7 Sumur"/>
      <sheetName val="An 7 Sumur"/>
      <sheetName val="Rangka Baja"/>
      <sheetName val="An.11"/>
      <sheetName val="Md 11"/>
      <sheetName val="Inf."/>
      <sheetName val="Isian"/>
      <sheetName val="BACK UP DATA"/>
      <sheetName val="PEMBESIAN"/>
      <sheetName val="BACK UP NYERUPA"/>
      <sheetName val="Anal_K"/>
      <sheetName val="HS"/>
      <sheetName val="ANALIS ATB DR METRO"/>
      <sheetName val="Alat_2"/>
      <sheetName val="NP1"/>
      <sheetName val="NP2"/>
      <sheetName val="NP3"/>
      <sheetName val="NP4"/>
      <sheetName val="NP5"/>
      <sheetName val="NP6"/>
      <sheetName val="NP7"/>
      <sheetName val="NP8"/>
      <sheetName val="AQ"/>
      <sheetName val="Ag.H&amp;K"/>
      <sheetName val="Ag.A"/>
      <sheetName val="Ag.B"/>
      <sheetName val="Ag.C"/>
      <sheetName val="BA Gorong2 "/>
      <sheetName val="JADWAL"/>
      <sheetName val="Kuantitas &amp; Harga"/>
      <sheetName val="Rekap Biaya"/>
      <sheetName val="Data Konsultan"/>
      <sheetName val="Harga bahan &amp; upah"/>
      <sheetName val="Terbilang"/>
      <sheetName val="3"/>
      <sheetName val="4"/>
      <sheetName val="BOW"/>
      <sheetName val="SEWA ALAT"/>
      <sheetName val="3-DIV3"/>
      <sheetName val="ANAL"/>
      <sheetName val="112-885"/>
      <sheetName val="Anl.+"/>
      <sheetName val="ANALIS"/>
      <sheetName val="ANALISA"/>
      <sheetName val="KH"/>
      <sheetName val="Harga Upah+Bahan"/>
      <sheetName val="Kuantitas &amp; Harga "/>
      <sheetName val="SAT"/>
      <sheetName val="Anl-K"/>
      <sheetName val="Analis SNI"/>
      <sheetName val="rekap-an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HARGA &amp; JARAK RATA-RATA</v>
          </cell>
          <cell r="B1" t="str">
            <v>ANALISA BIAYA SEWA PERALATAN PER JAM KERJA</v>
          </cell>
          <cell r="D1" t="str">
            <v>:  2.1</v>
          </cell>
        </row>
        <row r="2">
          <cell r="A2" t="str">
            <v>DARI SUMBER BAHAN (QUARRY)</v>
          </cell>
          <cell r="D2" t="str">
            <v>:  Pek. Galian Untuk Saluran</v>
          </cell>
        </row>
        <row r="3">
          <cell r="D3" t="str">
            <v>:  M3</v>
          </cell>
          <cell r="H3" t="str">
            <v xml:space="preserve">         URAIAN ANALISA HARGA SATUAN</v>
          </cell>
        </row>
        <row r="4">
          <cell r="F4" t="str">
            <v>HARGA</v>
          </cell>
          <cell r="G4" t="str">
            <v>JARAK</v>
          </cell>
        </row>
        <row r="5">
          <cell r="A5" t="str">
            <v>No.</v>
          </cell>
          <cell r="B5" t="str">
            <v>U R A I A N</v>
          </cell>
          <cell r="E5" t="str">
            <v>SATUAN</v>
          </cell>
          <cell r="F5" t="str">
            <v>ROYALTY</v>
          </cell>
          <cell r="G5" t="str">
            <v>QUARRY</v>
          </cell>
          <cell r="H5" t="str">
            <v>KET.</v>
          </cell>
        </row>
        <row r="6">
          <cell r="C6" t="str">
            <v>U R A I A N</v>
          </cell>
          <cell r="F6" t="str">
            <v>(Rp)</v>
          </cell>
          <cell r="G6" t="str">
            <v>( Km )</v>
          </cell>
          <cell r="H6" t="str">
            <v>KOEF.</v>
          </cell>
        </row>
        <row r="8">
          <cell r="A8" t="str">
            <v>1.</v>
          </cell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</row>
        <row r="9">
          <cell r="C9" t="str">
            <v>ASUMSI</v>
          </cell>
          <cell r="F9" t="str">
            <v>(HP)</v>
          </cell>
          <cell r="G9" t="str">
            <v>-</v>
          </cell>
        </row>
        <row r="10">
          <cell r="A10" t="str">
            <v>2.</v>
          </cell>
          <cell r="B10" t="str">
            <v>No.</v>
          </cell>
          <cell r="C10" t="str">
            <v>M06  -  Batu Belah</v>
          </cell>
          <cell r="E10" t="str">
            <v>M3</v>
          </cell>
          <cell r="F10">
            <v>25000</v>
          </cell>
          <cell r="G10">
            <v>25</v>
          </cell>
          <cell r="H10" t="str">
            <v xml:space="preserve"> Ke Lokasi Pek.</v>
          </cell>
        </row>
        <row r="11">
          <cell r="C11" t="str">
            <v>Lokasi pekerjaan :  Sekitar Jembatan</v>
          </cell>
          <cell r="E11" t="str">
            <v>ALAT</v>
          </cell>
        </row>
        <row r="12">
          <cell r="A12" t="str">
            <v>3.</v>
          </cell>
          <cell r="C12" t="str">
            <v>M03  -  Agregate Kasar , untuk  Base.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</row>
        <row r="13">
          <cell r="C13" t="str">
            <v>Jam kerja efektif per-hari</v>
          </cell>
          <cell r="G13" t="str">
            <v>Tk</v>
          </cell>
          <cell r="H13">
            <v>7</v>
          </cell>
        </row>
        <row r="14">
          <cell r="A14" t="str">
            <v>4.</v>
          </cell>
          <cell r="C14" t="str">
            <v>M03a.- Agregate Kasar untuk Lapen / Cor</v>
          </cell>
          <cell r="E14" t="str">
            <v>M3</v>
          </cell>
          <cell r="F14">
            <v>65000</v>
          </cell>
          <cell r="G14">
            <v>50</v>
          </cell>
          <cell r="H14" t="str">
            <v xml:space="preserve"> Ke Lokasi Pek.</v>
          </cell>
        </row>
        <row r="15">
          <cell r="F15" t="str">
            <v>HP</v>
          </cell>
          <cell r="G15" t="str">
            <v>Cp</v>
          </cell>
        </row>
        <row r="16">
          <cell r="A16" t="str">
            <v>5.</v>
          </cell>
          <cell r="B16" t="str">
            <v>1</v>
          </cell>
          <cell r="C16" t="str">
            <v>M04  -  Agregate Halus , untuk  Base.</v>
          </cell>
          <cell r="E16" t="str">
            <v>M3</v>
          </cell>
          <cell r="F16">
            <v>0</v>
          </cell>
          <cell r="G16">
            <v>0</v>
          </cell>
          <cell r="H16" t="str">
            <v xml:space="preserve"> Ke Base Camp.</v>
          </cell>
        </row>
        <row r="17">
          <cell r="C17" t="str">
            <v>Penggalian dilakukan dengan menggunakan Excavator</v>
          </cell>
        </row>
        <row r="18">
          <cell r="A18" t="str">
            <v>6.</v>
          </cell>
          <cell r="B18" t="str">
            <v>1.</v>
          </cell>
          <cell r="C18" t="str">
            <v xml:space="preserve">M04a.- Agregate Halus untuk Lapen </v>
          </cell>
          <cell r="D18" t="str">
            <v>ASPHALT MIXING PLANT</v>
          </cell>
          <cell r="E18" t="str">
            <v>M3</v>
          </cell>
          <cell r="F18">
            <v>60000</v>
          </cell>
          <cell r="G18">
            <v>50</v>
          </cell>
          <cell r="H18" t="str">
            <v xml:space="preserve"> Ke Lokasi Pek.</v>
          </cell>
        </row>
        <row r="19"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</row>
        <row r="20">
          <cell r="A20" t="str">
            <v>7.</v>
          </cell>
          <cell r="B20" t="str">
            <v>3.</v>
          </cell>
          <cell r="C20" t="str">
            <v>M06a - Batu Belah 10/15</v>
          </cell>
          <cell r="D20" t="str">
            <v>ASPHALT SPRAYER</v>
          </cell>
          <cell r="E20" t="str">
            <v>M3</v>
          </cell>
          <cell r="F20">
            <v>45000</v>
          </cell>
          <cell r="G20">
            <v>25</v>
          </cell>
          <cell r="H20" t="str">
            <v xml:space="preserve"> Ke Lokasi Pek.</v>
          </cell>
        </row>
        <row r="21"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 xml:space="preserve">          -</v>
          </cell>
          <cell r="H21" t="str">
            <v/>
          </cell>
        </row>
        <row r="22">
          <cell r="A22" t="str">
            <v>8.</v>
          </cell>
          <cell r="B22" t="str">
            <v>5.</v>
          </cell>
          <cell r="C22" t="str">
            <v>M06b - Batu Belah  5/7</v>
          </cell>
          <cell r="D22" t="str">
            <v>COMPRESSOR 4000-6500 L\M</v>
          </cell>
          <cell r="E22" t="str">
            <v>M3</v>
          </cell>
          <cell r="F22">
            <v>50000</v>
          </cell>
          <cell r="G22">
            <v>25</v>
          </cell>
          <cell r="H22" t="str">
            <v xml:space="preserve"> Ke Lokasi Pek.</v>
          </cell>
        </row>
        <row r="23">
          <cell r="B23" t="str">
            <v>6.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</row>
        <row r="24">
          <cell r="A24" t="str">
            <v>9.</v>
          </cell>
          <cell r="B24" t="str">
            <v>7.</v>
          </cell>
          <cell r="C24" t="str">
            <v>M16  -  Krakal/Sirtu</v>
          </cell>
          <cell r="D24" t="str">
            <v>CRANE 10-15 TON</v>
          </cell>
          <cell r="E24" t="str">
            <v>M3</v>
          </cell>
          <cell r="F24">
            <v>0</v>
          </cell>
          <cell r="G24">
            <v>0</v>
          </cell>
          <cell r="H24" t="str">
            <v xml:space="preserve"> Ke Base Camp.</v>
          </cell>
        </row>
        <row r="25">
          <cell r="B25" t="str">
            <v>8.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</row>
        <row r="26">
          <cell r="A26" t="str">
            <v>10.</v>
          </cell>
          <cell r="B26" t="str">
            <v>9.</v>
          </cell>
          <cell r="C26" t="str">
            <v>M44  -  P a s i r urug</v>
          </cell>
          <cell r="D26" t="str">
            <v>DUMP TRUCK</v>
          </cell>
          <cell r="E26" t="str">
            <v>M3</v>
          </cell>
          <cell r="F26">
            <v>12500</v>
          </cell>
          <cell r="G26">
            <v>30</v>
          </cell>
          <cell r="H26" t="str">
            <v xml:space="preserve"> Ke Lokasi Pek.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</row>
        <row r="29"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</row>
        <row r="30"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 xml:space="preserve">          -</v>
          </cell>
          <cell r="H30" t="str">
            <v/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>
            <v>1.6</v>
          </cell>
          <cell r="H31" t="str">
            <v>M3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>
            <v>1.5</v>
          </cell>
          <cell r="H32" t="str">
            <v>M3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>
            <v>8</v>
          </cell>
          <cell r="H33" t="str">
            <v>Ton</v>
          </cell>
        </row>
        <row r="34">
          <cell r="B34" t="str">
            <v>17.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</row>
        <row r="35"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>
            <v>10</v>
          </cell>
          <cell r="H35" t="str">
            <v>Ton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>
            <v>7</v>
          </cell>
          <cell r="H36" t="str">
            <v>Ton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 xml:space="preserve">          -</v>
          </cell>
          <cell r="H37" t="str">
            <v/>
          </cell>
        </row>
        <row r="38">
          <cell r="B38" t="str">
            <v>21.</v>
          </cell>
          <cell r="D38" t="str">
            <v>STONE CRUSHER</v>
          </cell>
          <cell r="E38" t="str">
            <v>E21</v>
          </cell>
          <cell r="F38">
            <v>220</v>
          </cell>
          <cell r="G38">
            <v>30</v>
          </cell>
          <cell r="H38" t="str">
            <v>T/Jam</v>
          </cell>
        </row>
        <row r="39">
          <cell r="A39" t="str">
            <v>ANALISA HARGA DASAR SATUAN BAHAN</v>
          </cell>
          <cell r="B39" t="str">
            <v>22.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</row>
        <row r="40">
          <cell r="B40" t="str">
            <v>23.</v>
          </cell>
          <cell r="C40" t="str">
            <v>Kap. Prod. / jam =</v>
          </cell>
          <cell r="D40" t="str">
            <v>WATER TANKER 3000-4500 L.</v>
          </cell>
          <cell r="E40" t="str">
            <v>E23</v>
          </cell>
          <cell r="F40">
            <v>100</v>
          </cell>
          <cell r="G40">
            <v>4000</v>
          </cell>
          <cell r="H40" t="str">
            <v>Liter</v>
          </cell>
        </row>
        <row r="41">
          <cell r="A41" t="str">
            <v>Jenis</v>
          </cell>
          <cell r="B41" t="str">
            <v>:</v>
          </cell>
          <cell r="C41" t="str">
            <v>M01 -  Pasir</v>
          </cell>
          <cell r="D41" t="str">
            <v>PEDESTRIAN ROLLER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</row>
        <row r="42">
          <cell r="A42" t="str">
            <v>Lokasi</v>
          </cell>
          <cell r="B42" t="str">
            <v>:</v>
          </cell>
          <cell r="C42" t="str">
            <v>Quarry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</row>
        <row r="43">
          <cell r="A43" t="str">
            <v>Tujuan</v>
          </cell>
          <cell r="B43" t="str">
            <v>:</v>
          </cell>
          <cell r="C43" t="str">
            <v>Base Camp / Lokasi Pekerjaan</v>
          </cell>
          <cell r="D43" t="str">
            <v>JACK HAMMER</v>
          </cell>
          <cell r="E43" t="str">
            <v>E26</v>
          </cell>
          <cell r="F43">
            <v>3</v>
          </cell>
          <cell r="G43" t="str">
            <v xml:space="preserve">          -</v>
          </cell>
          <cell r="H43" t="str">
            <v/>
          </cell>
        </row>
        <row r="44"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</row>
        <row r="45"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>
            <v>8</v>
          </cell>
          <cell r="H45" t="str">
            <v>HARGA</v>
          </cell>
        </row>
        <row r="46">
          <cell r="A46" t="str">
            <v>No.</v>
          </cell>
          <cell r="B46" t="str">
            <v>URAIAN</v>
          </cell>
          <cell r="C46" t="str">
            <v>Kaasitas bak</v>
          </cell>
          <cell r="D46" t="str">
            <v>TRAILER 20 TON</v>
          </cell>
          <cell r="E46" t="str">
            <v>KODE</v>
          </cell>
          <cell r="F46" t="str">
            <v>KOEF.</v>
          </cell>
          <cell r="G46" t="str">
            <v>SATUAN</v>
          </cell>
          <cell r="H46" t="str">
            <v>SATUAN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>
            <v>2.5</v>
          </cell>
          <cell r="H47" t="str">
            <v>(Rp.)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>
            <v>35</v>
          </cell>
          <cell r="H48" t="str">
            <v>Ton</v>
          </cell>
        </row>
        <row r="49">
          <cell r="A49" t="str">
            <v>I.</v>
          </cell>
          <cell r="C49" t="str">
            <v>ASUMSI</v>
          </cell>
          <cell r="G49" t="str">
            <v>v2</v>
          </cell>
          <cell r="H49">
            <v>60</v>
          </cell>
        </row>
        <row r="50">
          <cell r="A50">
            <v>1</v>
          </cell>
          <cell r="C50" t="str">
            <v>Menggunakan alat berat</v>
          </cell>
          <cell r="E50" t="str">
            <v>=   (L  :  v1)  x  60</v>
          </cell>
          <cell r="G50" t="str">
            <v>Ts2</v>
          </cell>
          <cell r="H50">
            <v>1.5</v>
          </cell>
        </row>
        <row r="51">
          <cell r="A51">
            <v>2</v>
          </cell>
          <cell r="C51" t="str">
            <v>Kondisi Jalan   :  sedang / baik</v>
          </cell>
          <cell r="E51" t="str">
            <v>=   (L  :  v1)  x  60</v>
          </cell>
          <cell r="G51" t="str">
            <v>T1</v>
          </cell>
          <cell r="H51">
            <v>1.5</v>
          </cell>
        </row>
        <row r="52">
          <cell r="A52">
            <v>3</v>
          </cell>
          <cell r="C52" t="str">
            <v>Jarak Quarry ke lokasi Pekerjaan</v>
          </cell>
          <cell r="D52" t="str">
            <v xml:space="preserve">KETERANGAN  : </v>
          </cell>
          <cell r="E52" t="str">
            <v>L</v>
          </cell>
          <cell r="F52">
            <v>30</v>
          </cell>
          <cell r="G52" t="str">
            <v>Km</v>
          </cell>
          <cell r="H52">
            <v>1</v>
          </cell>
        </row>
        <row r="53">
          <cell r="A53">
            <v>4</v>
          </cell>
          <cell r="C53" t="str">
            <v>Harga satuan pasir di Quarry</v>
          </cell>
          <cell r="E53" t="str">
            <v>RpM01</v>
          </cell>
          <cell r="F53">
            <v>1</v>
          </cell>
          <cell r="G53" t="str">
            <v>M3</v>
          </cell>
          <cell r="H53">
            <v>15000</v>
          </cell>
        </row>
        <row r="54">
          <cell r="A54">
            <v>5</v>
          </cell>
          <cell r="C54" t="str">
            <v>Harga Satuan Dasar Dump Truck</v>
          </cell>
          <cell r="E54" t="str">
            <v>RpE08</v>
          </cell>
          <cell r="F54">
            <v>1</v>
          </cell>
          <cell r="G54" t="str">
            <v>Jam</v>
          </cell>
          <cell r="H54">
            <v>82267.929999999993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</row>
        <row r="56">
          <cell r="D56" t="str">
            <v>:  3.1 (1)</v>
          </cell>
          <cell r="E56" t="str">
            <v>5.</v>
          </cell>
          <cell r="F56" t="str">
            <v>Harga Bahan Bakar Solar</v>
          </cell>
        </row>
        <row r="57">
          <cell r="A57" t="str">
            <v>II.</v>
          </cell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</row>
        <row r="58"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</row>
        <row r="59">
          <cell r="A59">
            <v>1</v>
          </cell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</row>
        <row r="60">
          <cell r="C60" t="str">
            <v>galian ke dalam Dump Truck</v>
          </cell>
        </row>
        <row r="61">
          <cell r="A61">
            <v>2</v>
          </cell>
          <cell r="C61" t="str">
            <v>Dump Truck mengangkut pasir ke lokasi</v>
          </cell>
        </row>
        <row r="62">
          <cell r="C62" t="str">
            <v>Pekerjaan</v>
          </cell>
        </row>
        <row r="64">
          <cell r="A64" t="str">
            <v>III.</v>
          </cell>
          <cell r="C64" t="str">
            <v>PERHITUNGAN</v>
          </cell>
        </row>
        <row r="66">
          <cell r="C66" t="str">
            <v>EXCAVATOR</v>
          </cell>
          <cell r="E66" t="str">
            <v>(E10)</v>
          </cell>
        </row>
        <row r="67">
          <cell r="C67" t="str">
            <v>Kapasitas Bucket</v>
          </cell>
          <cell r="E67" t="str">
            <v>V</v>
          </cell>
          <cell r="F67">
            <v>0.5</v>
          </cell>
          <cell r="G67" t="str">
            <v>M3</v>
          </cell>
        </row>
        <row r="68">
          <cell r="C68" t="str">
            <v>Faktor Bucket</v>
          </cell>
          <cell r="E68" t="str">
            <v>Fb</v>
          </cell>
          <cell r="F68">
            <v>0.9</v>
          </cell>
          <cell r="G68" t="str">
            <v>-</v>
          </cell>
        </row>
        <row r="69">
          <cell r="C69" t="str">
            <v>Faktor  Efisiensi alat</v>
          </cell>
          <cell r="E69" t="str">
            <v>Fa</v>
          </cell>
          <cell r="F69">
            <v>0.83</v>
          </cell>
          <cell r="G69" t="str">
            <v>-</v>
          </cell>
        </row>
        <row r="70">
          <cell r="C70" t="str">
            <v>Waktu siklus</v>
          </cell>
          <cell r="E70" t="str">
            <v>Ts1</v>
          </cell>
        </row>
        <row r="71">
          <cell r="C71" t="str">
            <v>- Menggali / memuat</v>
          </cell>
          <cell r="E71" t="str">
            <v>T1</v>
          </cell>
          <cell r="F71">
            <v>0.25</v>
          </cell>
          <cell r="G71" t="str">
            <v>menit</v>
          </cell>
        </row>
        <row r="72">
          <cell r="C72" t="str">
            <v>- Lain-lain</v>
          </cell>
          <cell r="E72" t="str">
            <v>T2</v>
          </cell>
          <cell r="F72">
            <v>0.25</v>
          </cell>
          <cell r="G72" t="str">
            <v>menit</v>
          </cell>
        </row>
        <row r="73">
          <cell r="E73" t="str">
            <v>Ts1</v>
          </cell>
          <cell r="F73">
            <v>0.5</v>
          </cell>
          <cell r="G73" t="str">
            <v>menit</v>
          </cell>
        </row>
        <row r="74">
          <cell r="C74" t="str">
            <v>Kap. Prod. / jam =</v>
          </cell>
        </row>
        <row r="75">
          <cell r="C75" t="str">
            <v>V  x Fb x Fa x 60</v>
          </cell>
          <cell r="E75" t="str">
            <v>Q1</v>
          </cell>
          <cell r="F75">
            <v>44.82</v>
          </cell>
          <cell r="G75" t="str">
            <v>M3 / Jam</v>
          </cell>
        </row>
        <row r="76">
          <cell r="C76" t="str">
            <v>Ts1</v>
          </cell>
        </row>
        <row r="81">
          <cell r="C81" t="str">
            <v>DUMP TRUCK</v>
          </cell>
          <cell r="E81" t="str">
            <v>(E08)</v>
          </cell>
        </row>
        <row r="82">
          <cell r="C82" t="str">
            <v>Kapasitas bak</v>
          </cell>
          <cell r="E82" t="str">
            <v>V</v>
          </cell>
          <cell r="F82">
            <v>4</v>
          </cell>
          <cell r="G82" t="str">
            <v>M3</v>
          </cell>
        </row>
        <row r="83">
          <cell r="C83" t="str">
            <v>Faktor  efisiensi alat</v>
          </cell>
          <cell r="E83" t="str">
            <v>Fa</v>
          </cell>
          <cell r="F83">
            <v>0.83</v>
          </cell>
          <cell r="G83" t="str">
            <v>`</v>
          </cell>
        </row>
        <row r="84">
          <cell r="C84" t="str">
            <v>Kecepatan rata-rata bermuatan</v>
          </cell>
          <cell r="E84" t="str">
            <v>v1</v>
          </cell>
          <cell r="F84">
            <v>40</v>
          </cell>
          <cell r="G84" t="str">
            <v>KM/Jam</v>
          </cell>
        </row>
        <row r="85">
          <cell r="C85" t="str">
            <v>Kecepatan rata-rata kosong</v>
          </cell>
          <cell r="E85" t="str">
            <v>v2</v>
          </cell>
          <cell r="F85">
            <v>60</v>
          </cell>
          <cell r="G85" t="str">
            <v>KM/Jam</v>
          </cell>
        </row>
        <row r="86">
          <cell r="C86" t="str">
            <v>Waktu  siklus</v>
          </cell>
          <cell r="E86" t="str">
            <v>Ts2</v>
          </cell>
        </row>
        <row r="87">
          <cell r="C87" t="str">
            <v>- Waktu tempuh isi  =  (L/v1) x 60</v>
          </cell>
          <cell r="E87" t="str">
            <v>T1</v>
          </cell>
          <cell r="F87">
            <v>45</v>
          </cell>
          <cell r="G87" t="str">
            <v>menit</v>
          </cell>
        </row>
        <row r="88">
          <cell r="C88" t="str">
            <v>- Waktu tempuh kosong  =  (L/v2) x 60</v>
          </cell>
          <cell r="E88" t="str">
            <v>T2</v>
          </cell>
          <cell r="F88">
            <v>30</v>
          </cell>
          <cell r="G88" t="str">
            <v>menit</v>
          </cell>
        </row>
        <row r="89">
          <cell r="C89" t="str">
            <v>- Muat   =  (V/Q1) x 60</v>
          </cell>
          <cell r="E89" t="str">
            <v>T3</v>
          </cell>
          <cell r="F89">
            <v>5.3548</v>
          </cell>
          <cell r="G89" t="str">
            <v>menit</v>
          </cell>
        </row>
        <row r="90">
          <cell r="C90" t="str">
            <v>- Lain-lain</v>
          </cell>
          <cell r="E90" t="str">
            <v>T4</v>
          </cell>
          <cell r="F90">
            <v>1</v>
          </cell>
          <cell r="G90" t="str">
            <v>menit</v>
          </cell>
        </row>
        <row r="91">
          <cell r="E91" t="str">
            <v>Ts2</v>
          </cell>
          <cell r="F91">
            <v>81.354799999999997</v>
          </cell>
          <cell r="G91" t="str">
            <v>menit</v>
          </cell>
        </row>
        <row r="93">
          <cell r="H93" t="str">
            <v xml:space="preserve">Bersambung  </v>
          </cell>
        </row>
        <row r="94">
          <cell r="A94" t="str">
            <v>ANALISA HARGA DASAR SATUAN BAHAN</v>
          </cell>
        </row>
        <row r="96">
          <cell r="A96" t="str">
            <v>Jenis</v>
          </cell>
          <cell r="B96" t="str">
            <v>:</v>
          </cell>
          <cell r="C96" t="str">
            <v>M01 -  Pasir</v>
          </cell>
        </row>
        <row r="97">
          <cell r="A97" t="str">
            <v>Lokasi</v>
          </cell>
          <cell r="B97" t="str">
            <v>:</v>
          </cell>
          <cell r="C97" t="str">
            <v>Quarry</v>
          </cell>
        </row>
        <row r="98">
          <cell r="A98" t="str">
            <v>Tujuan</v>
          </cell>
          <cell r="B98" t="str">
            <v>:</v>
          </cell>
          <cell r="C98" t="str">
            <v>Base Camp / Lokasi Pekerjaan</v>
          </cell>
        </row>
        <row r="100">
          <cell r="H100" t="str">
            <v xml:space="preserve">Lanjutan  </v>
          </cell>
        </row>
        <row r="101">
          <cell r="H101" t="str">
            <v>HARGA</v>
          </cell>
        </row>
        <row r="102">
          <cell r="A102" t="str">
            <v>No.</v>
          </cell>
          <cell r="B102" t="str">
            <v>URAIAN</v>
          </cell>
          <cell r="E102" t="str">
            <v>KODE</v>
          </cell>
          <cell r="F102" t="str">
            <v>KOEF.</v>
          </cell>
          <cell r="G102" t="str">
            <v>SATUAN</v>
          </cell>
          <cell r="H102" t="str">
            <v>SATUAN</v>
          </cell>
        </row>
        <row r="103">
          <cell r="H103" t="str">
            <v>(Rp.)</v>
          </cell>
        </row>
        <row r="105">
          <cell r="C105" t="str">
            <v>Kapasitas Produksi / Jam   =</v>
          </cell>
        </row>
        <row r="106">
          <cell r="C106" t="str">
            <v>V x Fa x 60</v>
          </cell>
          <cell r="E106" t="str">
            <v>Q2</v>
          </cell>
          <cell r="F106">
            <v>2.4485000000000001</v>
          </cell>
          <cell r="G106" t="str">
            <v>M3 / Jam</v>
          </cell>
        </row>
        <row r="107">
          <cell r="C107" t="str">
            <v>Ts2</v>
          </cell>
        </row>
        <row r="109">
          <cell r="C109" t="str">
            <v>Biaya Dump Truck / M3  =  (1 : Q2) x RpE08</v>
          </cell>
          <cell r="E109" t="str">
            <v>Rp1</v>
          </cell>
          <cell r="F109">
            <v>33599.317900000002</v>
          </cell>
          <cell r="G109" t="str">
            <v>Rupiah</v>
          </cell>
        </row>
        <row r="112">
          <cell r="A112" t="str">
            <v>IV.</v>
          </cell>
          <cell r="C112" t="str">
            <v>HARGA SATUAN DASAR BAHAN</v>
          </cell>
        </row>
        <row r="113">
          <cell r="C113" t="str">
            <v>DI LOKASI BASE CAMP</v>
          </cell>
        </row>
        <row r="115">
          <cell r="C115" t="str">
            <v>Harga Satuan Dasar Pasir   =</v>
          </cell>
        </row>
        <row r="117">
          <cell r="C117" t="str">
            <v>(  RpM01  +  Rp  )</v>
          </cell>
          <cell r="E117" t="str">
            <v>M01</v>
          </cell>
          <cell r="F117">
            <v>48599.317900000002</v>
          </cell>
          <cell r="G117" t="str">
            <v>Rupiah</v>
          </cell>
        </row>
        <row r="119">
          <cell r="C119" t="str">
            <v>Dibulatkan   :</v>
          </cell>
          <cell r="E119" t="str">
            <v>M01</v>
          </cell>
          <cell r="F119">
            <v>48500</v>
          </cell>
          <cell r="G119" t="str">
            <v>Rupiah</v>
          </cell>
        </row>
        <row r="149">
          <cell r="A149" t="str">
            <v>ANALISA HARGA DASAR SATUAN BAHAN</v>
          </cell>
        </row>
        <row r="151">
          <cell r="A151" t="str">
            <v>Jenis</v>
          </cell>
          <cell r="B151" t="str">
            <v>:</v>
          </cell>
          <cell r="C151" t="str">
            <v>M06  -  Batu Belah</v>
          </cell>
        </row>
        <row r="152">
          <cell r="A152" t="str">
            <v>Lokasi</v>
          </cell>
          <cell r="B152" t="str">
            <v>:</v>
          </cell>
          <cell r="C152" t="str">
            <v>Quarry</v>
          </cell>
        </row>
        <row r="153">
          <cell r="A153" t="str">
            <v>Tujuan</v>
          </cell>
          <cell r="B153" t="str">
            <v>:</v>
          </cell>
          <cell r="C153" t="str">
            <v>Lokasi Pekerjaan</v>
          </cell>
        </row>
        <row r="155">
          <cell r="H155" t="str">
            <v>HARGA</v>
          </cell>
        </row>
        <row r="156">
          <cell r="A156" t="str">
            <v>No.</v>
          </cell>
          <cell r="B156" t="str">
            <v>URAIAN</v>
          </cell>
          <cell r="E156" t="str">
            <v>KODE</v>
          </cell>
          <cell r="F156" t="str">
            <v>KOEF.</v>
          </cell>
          <cell r="G156" t="str">
            <v>SATUAN</v>
          </cell>
          <cell r="H156" t="str">
            <v>SATUAN</v>
          </cell>
        </row>
        <row r="157">
          <cell r="H157" t="str">
            <v>(Rp.)</v>
          </cell>
        </row>
        <row r="159">
          <cell r="A159" t="str">
            <v>I.</v>
          </cell>
          <cell r="C159" t="str">
            <v>ASUMSI</v>
          </cell>
        </row>
        <row r="160">
          <cell r="A160">
            <v>1</v>
          </cell>
          <cell r="C160" t="str">
            <v>Menggunakan alat berat</v>
          </cell>
        </row>
        <row r="161">
          <cell r="A161">
            <v>2</v>
          </cell>
          <cell r="C161" t="str">
            <v>Kondisi Jalan   :  sedang / baik</v>
          </cell>
        </row>
        <row r="162">
          <cell r="A162">
            <v>3</v>
          </cell>
          <cell r="C162" t="str">
            <v>Jarak Quarry ke Lokasi Pekerjaan</v>
          </cell>
          <cell r="E162" t="str">
            <v>L</v>
          </cell>
          <cell r="F162">
            <v>25</v>
          </cell>
          <cell r="G162" t="str">
            <v>Km</v>
          </cell>
        </row>
        <row r="163">
          <cell r="A163">
            <v>4</v>
          </cell>
          <cell r="C163" t="str">
            <v>Harga satuan batu kali di Quarry</v>
          </cell>
          <cell r="E163" t="str">
            <v>RpM02</v>
          </cell>
          <cell r="F163">
            <v>1</v>
          </cell>
          <cell r="G163" t="str">
            <v>M3</v>
          </cell>
          <cell r="H163">
            <v>25000</v>
          </cell>
        </row>
        <row r="164">
          <cell r="A164">
            <v>6</v>
          </cell>
          <cell r="C164" t="str">
            <v>Harga Satuan Dasar Dump Truck</v>
          </cell>
          <cell r="E164" t="str">
            <v>RpE08</v>
          </cell>
          <cell r="F164">
            <v>1</v>
          </cell>
          <cell r="G164" t="str">
            <v>Jam</v>
          </cell>
          <cell r="H164">
            <v>82267.929999999993</v>
          </cell>
        </row>
        <row r="167">
          <cell r="A167" t="str">
            <v>II.</v>
          </cell>
          <cell r="C167" t="str">
            <v>URUTAN KERJA</v>
          </cell>
        </row>
        <row r="169">
          <cell r="A169">
            <v>1</v>
          </cell>
          <cell r="C169" t="str">
            <v>Excavator sekaligus memuat batu kali</v>
          </cell>
        </row>
        <row r="170">
          <cell r="C170" t="str">
            <v>hasil galian ke dalam Dump Truck</v>
          </cell>
        </row>
        <row r="171">
          <cell r="A171">
            <v>2</v>
          </cell>
          <cell r="C171" t="str">
            <v>Dump Truck mengangkut batu kali ke</v>
          </cell>
        </row>
        <row r="172">
          <cell r="C172" t="str">
            <v>lokasi pekerjaan</v>
          </cell>
        </row>
        <row r="174">
          <cell r="A174" t="str">
            <v>III.</v>
          </cell>
          <cell r="C174" t="str">
            <v>PERHITUNGAN</v>
          </cell>
        </row>
        <row r="176">
          <cell r="C176" t="str">
            <v>EXCAVATOR</v>
          </cell>
          <cell r="E176" t="str">
            <v>(E10)</v>
          </cell>
        </row>
        <row r="177">
          <cell r="C177" t="str">
            <v>Kapasitas Bucket</v>
          </cell>
          <cell r="E177" t="str">
            <v>V</v>
          </cell>
          <cell r="F177">
            <v>0.5</v>
          </cell>
          <cell r="G177" t="str">
            <v>M3</v>
          </cell>
        </row>
        <row r="178">
          <cell r="C178" t="str">
            <v>Faktor Bucket</v>
          </cell>
          <cell r="E178" t="str">
            <v>Fb</v>
          </cell>
          <cell r="F178">
            <v>0.9</v>
          </cell>
          <cell r="G178" t="str">
            <v>-</v>
          </cell>
        </row>
        <row r="179">
          <cell r="C179" t="str">
            <v>Faktor  Efisiensi alat</v>
          </cell>
          <cell r="E179" t="str">
            <v>Fa</v>
          </cell>
          <cell r="F179">
            <v>0.83</v>
          </cell>
          <cell r="G179" t="str">
            <v>-</v>
          </cell>
        </row>
        <row r="180">
          <cell r="C180" t="str">
            <v>Waktu siklus</v>
          </cell>
          <cell r="E180" t="str">
            <v>Ts1</v>
          </cell>
        </row>
        <row r="181">
          <cell r="C181" t="str">
            <v>- Menggali / memuat</v>
          </cell>
          <cell r="E181" t="str">
            <v>T1</v>
          </cell>
          <cell r="F181">
            <v>0.45</v>
          </cell>
          <cell r="G181" t="str">
            <v>menit</v>
          </cell>
        </row>
        <row r="182">
          <cell r="C182" t="str">
            <v>- Lain-lain</v>
          </cell>
          <cell r="E182" t="str">
            <v>T2</v>
          </cell>
          <cell r="F182">
            <v>0.25</v>
          </cell>
          <cell r="G182" t="str">
            <v>menit</v>
          </cell>
        </row>
        <row r="183">
          <cell r="E183" t="str">
            <v>Ts1</v>
          </cell>
          <cell r="F183">
            <v>0.7</v>
          </cell>
          <cell r="G183" t="str">
            <v>menit</v>
          </cell>
        </row>
        <row r="184">
          <cell r="C184" t="str">
            <v>Kap. Prod. / jam =</v>
          </cell>
        </row>
        <row r="185">
          <cell r="C185" t="str">
            <v>V  x Fb x Fa x 60</v>
          </cell>
          <cell r="E185" t="str">
            <v>Q1</v>
          </cell>
          <cell r="F185">
            <v>32.014299999999999</v>
          </cell>
          <cell r="G185" t="str">
            <v>M3 / Jam</v>
          </cell>
        </row>
        <row r="186">
          <cell r="C186" t="str">
            <v>Ts1</v>
          </cell>
        </row>
        <row r="191">
          <cell r="C191" t="str">
            <v>DUMP TRUCK</v>
          </cell>
          <cell r="E191" t="str">
            <v>(E08)</v>
          </cell>
        </row>
        <row r="192">
          <cell r="C192" t="str">
            <v>Kapasitas bak</v>
          </cell>
          <cell r="E192" t="str">
            <v>V</v>
          </cell>
          <cell r="F192">
            <v>4</v>
          </cell>
          <cell r="G192" t="str">
            <v>M3</v>
          </cell>
        </row>
        <row r="193">
          <cell r="C193" t="str">
            <v>Faktor  efisiensi alat</v>
          </cell>
          <cell r="E193" t="str">
            <v>Fa</v>
          </cell>
          <cell r="F193">
            <v>0.83</v>
          </cell>
          <cell r="G193" t="str">
            <v>-</v>
          </cell>
        </row>
        <row r="194">
          <cell r="C194" t="str">
            <v>Kecepatan rata-rata bermuatan</v>
          </cell>
          <cell r="E194" t="str">
            <v>v1</v>
          </cell>
          <cell r="F194">
            <v>40</v>
          </cell>
          <cell r="G194" t="str">
            <v>KM/Jam</v>
          </cell>
        </row>
        <row r="195">
          <cell r="C195" t="str">
            <v>Kecepatan rata-rata kosong</v>
          </cell>
          <cell r="E195" t="str">
            <v>v2</v>
          </cell>
          <cell r="F195">
            <v>60</v>
          </cell>
          <cell r="G195" t="str">
            <v>KM/Jam</v>
          </cell>
        </row>
        <row r="196">
          <cell r="C196" t="str">
            <v>Waktu  siklus</v>
          </cell>
          <cell r="E196" t="str">
            <v>Ts2</v>
          </cell>
        </row>
        <row r="197">
          <cell r="C197" t="str">
            <v>- Waktu tempuh isi  =  (L/v1) x 60</v>
          </cell>
          <cell r="E197" t="str">
            <v>T1</v>
          </cell>
          <cell r="F197">
            <v>37.5</v>
          </cell>
          <cell r="G197" t="str">
            <v>menit</v>
          </cell>
        </row>
        <row r="198">
          <cell r="C198" t="str">
            <v>- Waktu tempuh kosong  =  (L/v2) x 60</v>
          </cell>
          <cell r="E198" t="str">
            <v>T2</v>
          </cell>
          <cell r="F198">
            <v>25</v>
          </cell>
          <cell r="G198" t="str">
            <v>menit</v>
          </cell>
        </row>
        <row r="199">
          <cell r="C199" t="str">
            <v>- Muat   =  (V/Q1) x 60</v>
          </cell>
          <cell r="E199" t="str">
            <v>T3</v>
          </cell>
          <cell r="F199">
            <v>7.4965999999999999</v>
          </cell>
          <cell r="G199" t="str">
            <v>menit</v>
          </cell>
        </row>
        <row r="200">
          <cell r="C200" t="str">
            <v>- Lain-lain</v>
          </cell>
          <cell r="E200" t="str">
            <v>T4</v>
          </cell>
          <cell r="F200">
            <v>1</v>
          </cell>
          <cell r="G200" t="str">
            <v>menit</v>
          </cell>
        </row>
        <row r="201">
          <cell r="E201" t="str">
            <v>Ts2</v>
          </cell>
          <cell r="F201">
            <v>70.996600000000001</v>
          </cell>
          <cell r="G201" t="str">
            <v>menit</v>
          </cell>
        </row>
        <row r="203">
          <cell r="H203" t="str">
            <v xml:space="preserve">Bersambung  </v>
          </cell>
        </row>
        <row r="204">
          <cell r="A204" t="str">
            <v>ANALISA HARGA DASAR SATUAN BAHAN</v>
          </cell>
        </row>
        <row r="206">
          <cell r="A206" t="str">
            <v>Jenis</v>
          </cell>
          <cell r="B206" t="str">
            <v>:</v>
          </cell>
          <cell r="C206" t="str">
            <v>M06  -  Batu Belah</v>
          </cell>
        </row>
        <row r="207">
          <cell r="A207" t="str">
            <v>Lokasi</v>
          </cell>
          <cell r="B207" t="str">
            <v>:</v>
          </cell>
          <cell r="C207" t="str">
            <v>Quarry</v>
          </cell>
        </row>
        <row r="208">
          <cell r="A208" t="str">
            <v>Tujuan</v>
          </cell>
          <cell r="B208" t="str">
            <v>:</v>
          </cell>
          <cell r="C208" t="str">
            <v>Lokasi Pekerjaan</v>
          </cell>
        </row>
        <row r="210">
          <cell r="H210" t="str">
            <v xml:space="preserve">Lanjutan  </v>
          </cell>
        </row>
        <row r="211">
          <cell r="H211" t="str">
            <v>HARGA</v>
          </cell>
        </row>
        <row r="212">
          <cell r="A212" t="str">
            <v>No.</v>
          </cell>
          <cell r="B212" t="str">
            <v>URAIAN</v>
          </cell>
          <cell r="E212" t="str">
            <v>KODE</v>
          </cell>
          <cell r="F212" t="str">
            <v>KOEF.</v>
          </cell>
          <cell r="G212" t="str">
            <v>SATUAN</v>
          </cell>
          <cell r="H212" t="str">
            <v>SATUAN</v>
          </cell>
        </row>
        <row r="213">
          <cell r="H213" t="str">
            <v>(Rp.)</v>
          </cell>
        </row>
        <row r="215">
          <cell r="C215" t="str">
            <v>Kapasitas Produksi / Jam   =</v>
          </cell>
        </row>
        <row r="216">
          <cell r="C216" t="str">
            <v>V x Fa x 60</v>
          </cell>
          <cell r="E216" t="str">
            <v>Q2</v>
          </cell>
          <cell r="F216">
            <v>2.8058000000000001</v>
          </cell>
          <cell r="G216" t="str">
            <v>M3 / Jam</v>
          </cell>
        </row>
        <row r="217">
          <cell r="C217" t="str">
            <v>Ts2</v>
          </cell>
        </row>
        <row r="219">
          <cell r="C219" t="str">
            <v>Biaya Dump Truck / M3  =  (1 : Q2) x RpE08</v>
          </cell>
          <cell r="E219" t="str">
            <v>Rp1</v>
          </cell>
          <cell r="F219">
            <v>29320.6679</v>
          </cell>
          <cell r="G219" t="str">
            <v>Rupiah</v>
          </cell>
        </row>
        <row r="222">
          <cell r="A222" t="str">
            <v>IV.</v>
          </cell>
          <cell r="C222" t="str">
            <v>HARGA SATUAN DASAR BAHAN</v>
          </cell>
        </row>
        <row r="223">
          <cell r="C223" t="str">
            <v>DI LOKASI PEKERJAAN</v>
          </cell>
        </row>
        <row r="225">
          <cell r="C225" t="str">
            <v>Harga Satuan Dasar Batu kali   =</v>
          </cell>
        </row>
        <row r="227">
          <cell r="C227" t="str">
            <v>(  RpM02  +  Rp1 )</v>
          </cell>
          <cell r="E227" t="str">
            <v>M02</v>
          </cell>
          <cell r="F227">
            <v>54320.6679</v>
          </cell>
          <cell r="G227" t="str">
            <v>Rupiah</v>
          </cell>
        </row>
        <row r="229">
          <cell r="C229" t="str">
            <v>Dibulatkan   :</v>
          </cell>
          <cell r="E229" t="str">
            <v>M02</v>
          </cell>
          <cell r="F229">
            <v>54300</v>
          </cell>
          <cell r="G229" t="str">
            <v>Rupiah</v>
          </cell>
        </row>
        <row r="260">
          <cell r="A260" t="str">
            <v>ANALISA HARGA DASAR SATUAN BAHAN</v>
          </cell>
        </row>
        <row r="262">
          <cell r="A262" t="str">
            <v>Jenis</v>
          </cell>
          <cell r="B262" t="str">
            <v>:</v>
          </cell>
          <cell r="C262" t="str">
            <v>M03  -  Agregate Kasar, untuk Base.</v>
          </cell>
        </row>
        <row r="263">
          <cell r="A263" t="str">
            <v>Lokasi</v>
          </cell>
          <cell r="B263" t="str">
            <v>:</v>
          </cell>
          <cell r="C263" t="str">
            <v>Quarry</v>
          </cell>
        </row>
        <row r="264">
          <cell r="A264" t="str">
            <v>Tujuan</v>
          </cell>
          <cell r="B264" t="str">
            <v>:</v>
          </cell>
          <cell r="C264" t="str">
            <v>Base Camp.</v>
          </cell>
        </row>
        <row r="266">
          <cell r="H266" t="str">
            <v>HARGA</v>
          </cell>
        </row>
        <row r="267">
          <cell r="A267" t="str">
            <v>No.</v>
          </cell>
          <cell r="B267" t="str">
            <v>URAIAN</v>
          </cell>
          <cell r="E267" t="str">
            <v>KODE</v>
          </cell>
          <cell r="F267" t="str">
            <v>KOEF.</v>
          </cell>
          <cell r="G267" t="str">
            <v>SATUAN</v>
          </cell>
          <cell r="H267" t="str">
            <v>SATUAN</v>
          </cell>
        </row>
        <row r="268">
          <cell r="H268" t="str">
            <v>(Rp.)</v>
          </cell>
        </row>
        <row r="270">
          <cell r="A270" t="str">
            <v>I.</v>
          </cell>
          <cell r="C270" t="str">
            <v>ASUMSI</v>
          </cell>
        </row>
        <row r="271">
          <cell r="A271">
            <v>1</v>
          </cell>
          <cell r="C271" t="str">
            <v>Menggunakan alat berat</v>
          </cell>
        </row>
        <row r="272">
          <cell r="A272">
            <v>2</v>
          </cell>
          <cell r="C272" t="str">
            <v>Kondisi Jalan   :  sedang / baik</v>
          </cell>
        </row>
        <row r="273">
          <cell r="A273">
            <v>3</v>
          </cell>
          <cell r="C273" t="str">
            <v>Jarak Quarry ke Base Camp.</v>
          </cell>
          <cell r="E273" t="str">
            <v>L</v>
          </cell>
          <cell r="F273">
            <v>0</v>
          </cell>
          <cell r="G273" t="str">
            <v>Km</v>
          </cell>
        </row>
        <row r="274">
          <cell r="A274">
            <v>4</v>
          </cell>
          <cell r="C274" t="str">
            <v>Harga satuan Agregate di Quarry</v>
          </cell>
          <cell r="E274" t="str">
            <v>RpM03</v>
          </cell>
          <cell r="F274">
            <v>1</v>
          </cell>
          <cell r="G274" t="str">
            <v>M3</v>
          </cell>
          <cell r="H274">
            <v>0</v>
          </cell>
        </row>
        <row r="275">
          <cell r="A275">
            <v>5</v>
          </cell>
          <cell r="C275" t="str">
            <v>Harga Satuan Dasar Dump Truck</v>
          </cell>
          <cell r="E275" t="str">
            <v>RpE08</v>
          </cell>
          <cell r="F275">
            <v>1</v>
          </cell>
          <cell r="G275" t="str">
            <v>Jam</v>
          </cell>
          <cell r="H275">
            <v>82267.929999999993</v>
          </cell>
        </row>
        <row r="278">
          <cell r="A278" t="str">
            <v>II.</v>
          </cell>
          <cell r="C278" t="str">
            <v>URUTAN KERJA</v>
          </cell>
        </row>
        <row r="280">
          <cell r="A280">
            <v>1</v>
          </cell>
          <cell r="C280" t="str">
            <v>Excavator sekaligus memuat Agregate</v>
          </cell>
        </row>
        <row r="281">
          <cell r="C281" t="str">
            <v>ke dalam Dump Truck</v>
          </cell>
        </row>
        <row r="282">
          <cell r="A282">
            <v>2</v>
          </cell>
          <cell r="C282" t="str">
            <v>Dump Truck mengangkut Agregate</v>
          </cell>
        </row>
        <row r="283">
          <cell r="C283" t="str">
            <v>ke lokasi pekerjaan</v>
          </cell>
        </row>
        <row r="285">
          <cell r="A285" t="str">
            <v>III.</v>
          </cell>
          <cell r="C285" t="str">
            <v>PERHITUNGAN</v>
          </cell>
        </row>
        <row r="287">
          <cell r="C287" t="str">
            <v>EXCAVATOR</v>
          </cell>
          <cell r="E287" t="str">
            <v>(E10)</v>
          </cell>
        </row>
        <row r="288">
          <cell r="C288" t="str">
            <v>Kapasitas Bucket</v>
          </cell>
          <cell r="E288" t="str">
            <v>V</v>
          </cell>
          <cell r="F288">
            <v>0.5</v>
          </cell>
          <cell r="G288" t="str">
            <v>M3</v>
          </cell>
        </row>
        <row r="289">
          <cell r="C289" t="str">
            <v>Faktor Bucket</v>
          </cell>
          <cell r="E289" t="str">
            <v>Fb</v>
          </cell>
          <cell r="F289">
            <v>0.9</v>
          </cell>
          <cell r="G289" t="str">
            <v>-</v>
          </cell>
        </row>
        <row r="290">
          <cell r="C290" t="str">
            <v>Faktor  Efisiensi alat</v>
          </cell>
          <cell r="E290" t="str">
            <v>Fa</v>
          </cell>
          <cell r="F290">
            <v>0.83</v>
          </cell>
          <cell r="G290" t="str">
            <v>-</v>
          </cell>
        </row>
        <row r="291">
          <cell r="C291" t="str">
            <v>Waktu siklus</v>
          </cell>
          <cell r="E291" t="str">
            <v>Ts1</v>
          </cell>
        </row>
        <row r="292">
          <cell r="C292" t="str">
            <v>- Menggali / memuat</v>
          </cell>
          <cell r="E292" t="str">
            <v>T1</v>
          </cell>
          <cell r="F292">
            <v>0.45</v>
          </cell>
          <cell r="G292" t="str">
            <v>menit</v>
          </cell>
        </row>
        <row r="293">
          <cell r="C293" t="str">
            <v>- Lain-lain</v>
          </cell>
          <cell r="E293" t="str">
            <v>T2</v>
          </cell>
          <cell r="F293">
            <v>0.25</v>
          </cell>
          <cell r="G293" t="str">
            <v>menit</v>
          </cell>
        </row>
        <row r="294">
          <cell r="E294" t="str">
            <v>Ts1</v>
          </cell>
          <cell r="F294">
            <v>0.7</v>
          </cell>
          <cell r="G294" t="str">
            <v>menit</v>
          </cell>
        </row>
        <row r="295">
          <cell r="C295" t="str">
            <v>Kap. Prod. / jam =</v>
          </cell>
        </row>
        <row r="296">
          <cell r="C296" t="str">
            <v>V  x Fb x Fa x 60</v>
          </cell>
          <cell r="E296" t="str">
            <v>Q1</v>
          </cell>
          <cell r="F296">
            <v>32.014299999999999</v>
          </cell>
          <cell r="G296" t="str">
            <v>M3 / Jam</v>
          </cell>
        </row>
        <row r="297">
          <cell r="C297" t="str">
            <v>Ts1</v>
          </cell>
        </row>
        <row r="302">
          <cell r="C302" t="str">
            <v>DUMP TRUCK</v>
          </cell>
          <cell r="E302" t="str">
            <v>(E08)</v>
          </cell>
        </row>
        <row r="303">
          <cell r="C303" t="str">
            <v>Kapasitas bak</v>
          </cell>
          <cell r="E303" t="str">
            <v>V</v>
          </cell>
          <cell r="F303">
            <v>4</v>
          </cell>
          <cell r="G303" t="str">
            <v>M3</v>
          </cell>
        </row>
        <row r="304">
          <cell r="C304" t="str">
            <v>Faktor  efisiensi alat</v>
          </cell>
          <cell r="E304" t="str">
            <v>Fa</v>
          </cell>
          <cell r="F304">
            <v>0.83</v>
          </cell>
          <cell r="G304" t="str">
            <v>-</v>
          </cell>
        </row>
        <row r="305">
          <cell r="C305" t="str">
            <v>Kecepatan rata-rata bermuatan</v>
          </cell>
          <cell r="E305" t="str">
            <v>v1</v>
          </cell>
          <cell r="F305">
            <v>40</v>
          </cell>
          <cell r="G305" t="str">
            <v>KM/Jam</v>
          </cell>
        </row>
        <row r="306">
          <cell r="C306" t="str">
            <v>Kecepatan rata-rata kosong</v>
          </cell>
          <cell r="E306" t="str">
            <v>v2</v>
          </cell>
          <cell r="F306">
            <v>60</v>
          </cell>
          <cell r="G306" t="str">
            <v>KM/Jam</v>
          </cell>
        </row>
        <row r="307">
          <cell r="C307" t="str">
            <v>Waktu  siklus</v>
          </cell>
          <cell r="E307" t="str">
            <v>Ts2</v>
          </cell>
        </row>
        <row r="308">
          <cell r="C308" t="str">
            <v>- Waktu tempuh isi  =  (L/v1) x 60</v>
          </cell>
          <cell r="E308" t="str">
            <v>T1</v>
          </cell>
          <cell r="F308">
            <v>0</v>
          </cell>
          <cell r="G308" t="str">
            <v>menit</v>
          </cell>
        </row>
        <row r="309">
          <cell r="C309" t="str">
            <v>- Waktu tempuh kosong  =  (L/v2) x 60</v>
          </cell>
          <cell r="E309" t="str">
            <v>T2</v>
          </cell>
          <cell r="F309">
            <v>0</v>
          </cell>
          <cell r="G309" t="str">
            <v>menit</v>
          </cell>
        </row>
        <row r="310">
          <cell r="C310" t="str">
            <v>- Muat   =  (V/Q1) x 60</v>
          </cell>
          <cell r="E310" t="str">
            <v>T3</v>
          </cell>
          <cell r="F310">
            <v>7.4965999999999999</v>
          </cell>
          <cell r="G310" t="str">
            <v>menit</v>
          </cell>
        </row>
        <row r="311">
          <cell r="C311" t="str">
            <v>- Lain-lain</v>
          </cell>
          <cell r="E311" t="str">
            <v>T4</v>
          </cell>
          <cell r="F311">
            <v>1</v>
          </cell>
          <cell r="G311" t="str">
            <v>menit</v>
          </cell>
        </row>
        <row r="312">
          <cell r="E312" t="str">
            <v>Ts2</v>
          </cell>
          <cell r="F312">
            <v>8.4966000000000008</v>
          </cell>
          <cell r="G312" t="str">
            <v>menit</v>
          </cell>
        </row>
        <row r="314">
          <cell r="H314" t="str">
            <v xml:space="preserve">Bersambung  </v>
          </cell>
        </row>
        <row r="315">
          <cell r="A315" t="str">
            <v>ANALISA HARGA DASAR SATUAN BAHAN</v>
          </cell>
        </row>
        <row r="317">
          <cell r="A317" t="str">
            <v>Jenis</v>
          </cell>
          <cell r="B317" t="str">
            <v>:</v>
          </cell>
          <cell r="C317" t="str">
            <v>M03  -  Agregate Kasar, untuk Base.</v>
          </cell>
        </row>
        <row r="318">
          <cell r="A318" t="str">
            <v>Lokasi</v>
          </cell>
          <cell r="B318" t="str">
            <v>:</v>
          </cell>
          <cell r="C318" t="str">
            <v>Quarry</v>
          </cell>
        </row>
        <row r="319">
          <cell r="A319" t="str">
            <v>Tujuan</v>
          </cell>
          <cell r="B319" t="str">
            <v>:</v>
          </cell>
          <cell r="C319" t="str">
            <v>Base Camp.</v>
          </cell>
        </row>
        <row r="321">
          <cell r="H321" t="str">
            <v xml:space="preserve">Lanjutan  </v>
          </cell>
        </row>
        <row r="322">
          <cell r="H322" t="str">
            <v>HARGA</v>
          </cell>
        </row>
        <row r="323">
          <cell r="A323" t="str">
            <v>No.</v>
          </cell>
          <cell r="B323" t="str">
            <v>URAIAN</v>
          </cell>
          <cell r="E323" t="str">
            <v>KODE</v>
          </cell>
          <cell r="F323" t="str">
            <v>KOEF.</v>
          </cell>
          <cell r="G323" t="str">
            <v>SATUAN</v>
          </cell>
          <cell r="H323" t="str">
            <v>SATUAN</v>
          </cell>
        </row>
        <row r="324">
          <cell r="H324" t="str">
            <v>(Rp.)</v>
          </cell>
        </row>
        <row r="326">
          <cell r="C326" t="str">
            <v>Kapasitas Produksi / Jam   =</v>
          </cell>
        </row>
        <row r="327">
          <cell r="C327" t="str">
            <v>V x Fa x 60</v>
          </cell>
          <cell r="E327" t="str">
            <v>Q2</v>
          </cell>
          <cell r="F327">
            <v>23.444700000000001</v>
          </cell>
          <cell r="G327" t="str">
            <v>M3 / Jam</v>
          </cell>
        </row>
        <row r="328">
          <cell r="C328" t="str">
            <v>Ts2</v>
          </cell>
        </row>
        <row r="330">
          <cell r="C330" t="str">
            <v>Biaya Dump Truck / M3  =  (1 : Q2) x RpE08</v>
          </cell>
          <cell r="E330" t="str">
            <v>Rp1</v>
          </cell>
          <cell r="F330">
            <v>3509.0203999999999</v>
          </cell>
          <cell r="G330" t="str">
            <v>Rupiah</v>
          </cell>
        </row>
        <row r="333">
          <cell r="A333" t="str">
            <v>IV.</v>
          </cell>
          <cell r="C333" t="str">
            <v>HARGA SATUAN DASAR BAHAN</v>
          </cell>
        </row>
        <row r="334">
          <cell r="C334" t="str">
            <v>DI LOKASI PEKERJAAN</v>
          </cell>
        </row>
        <row r="336">
          <cell r="C336" t="str">
            <v>Harga Satuan Dasar  Agregate  =</v>
          </cell>
        </row>
        <row r="338">
          <cell r="C338" t="str">
            <v>(  RpM03  +  Rp1    )</v>
          </cell>
          <cell r="E338" t="str">
            <v>M03</v>
          </cell>
          <cell r="F338">
            <v>3509.0203999999999</v>
          </cell>
          <cell r="G338" t="str">
            <v>Rupiah</v>
          </cell>
        </row>
        <row r="340">
          <cell r="C340" t="str">
            <v>Dibulatkan   :</v>
          </cell>
          <cell r="E340" t="str">
            <v>M03</v>
          </cell>
          <cell r="F340">
            <v>3500</v>
          </cell>
          <cell r="G340" t="str">
            <v>Rupiah</v>
          </cell>
        </row>
        <row r="371">
          <cell r="A371" t="str">
            <v>ANALISA HARGA DASAR SATUAN BAHAN</v>
          </cell>
        </row>
        <row r="373">
          <cell r="A373" t="str">
            <v>Jenis</v>
          </cell>
          <cell r="B373" t="str">
            <v>:</v>
          </cell>
          <cell r="C373" t="str">
            <v>M03a  -  Agregate Kasar, untuk Lapen</v>
          </cell>
        </row>
        <row r="374">
          <cell r="A374" t="str">
            <v>Lokasi</v>
          </cell>
          <cell r="B374" t="str">
            <v>:</v>
          </cell>
          <cell r="C374" t="str">
            <v>Quarry</v>
          </cell>
        </row>
        <row r="375">
          <cell r="A375" t="str">
            <v>Tujuan</v>
          </cell>
          <cell r="B375" t="str">
            <v>:</v>
          </cell>
          <cell r="C375" t="str">
            <v>Base Camp.</v>
          </cell>
        </row>
        <row r="377">
          <cell r="H377" t="str">
            <v>HARGA</v>
          </cell>
        </row>
        <row r="378">
          <cell r="A378" t="str">
            <v>No.</v>
          </cell>
          <cell r="B378" t="str">
            <v>URAIAN</v>
          </cell>
          <cell r="E378" t="str">
            <v>KODE</v>
          </cell>
          <cell r="F378" t="str">
            <v>KOEF.</v>
          </cell>
          <cell r="G378" t="str">
            <v>SATUAN</v>
          </cell>
          <cell r="H378" t="str">
            <v>SATUAN</v>
          </cell>
        </row>
        <row r="379">
          <cell r="H379" t="str">
            <v>(Rp.)</v>
          </cell>
        </row>
        <row r="381">
          <cell r="A381" t="str">
            <v>I.</v>
          </cell>
          <cell r="C381" t="str">
            <v>ASUMSI</v>
          </cell>
        </row>
        <row r="382">
          <cell r="A382">
            <v>1</v>
          </cell>
          <cell r="C382" t="str">
            <v>Menggunakan alat berat</v>
          </cell>
        </row>
        <row r="383">
          <cell r="A383">
            <v>2</v>
          </cell>
          <cell r="C383" t="str">
            <v>Kondisi Jalan   :  sedang / baik</v>
          </cell>
        </row>
        <row r="384">
          <cell r="A384">
            <v>3</v>
          </cell>
          <cell r="C384" t="str">
            <v>Jarak Quarry ke Base Camp.</v>
          </cell>
          <cell r="E384" t="str">
            <v>L</v>
          </cell>
          <cell r="F384">
            <v>50</v>
          </cell>
          <cell r="G384" t="str">
            <v>Km</v>
          </cell>
        </row>
        <row r="385">
          <cell r="A385">
            <v>4</v>
          </cell>
          <cell r="C385" t="str">
            <v>Harga satuan Agregate di Quarry</v>
          </cell>
          <cell r="E385" t="str">
            <v>RpM03a</v>
          </cell>
          <cell r="F385">
            <v>1</v>
          </cell>
          <cell r="G385" t="str">
            <v>M3</v>
          </cell>
          <cell r="H385">
            <v>65000</v>
          </cell>
        </row>
        <row r="386">
          <cell r="A386">
            <v>5</v>
          </cell>
          <cell r="C386" t="str">
            <v>Harga Satuan Dasar Dump Truck</v>
          </cell>
          <cell r="E386" t="str">
            <v>RpE08</v>
          </cell>
          <cell r="F386">
            <v>1</v>
          </cell>
          <cell r="G386" t="str">
            <v>Jam</v>
          </cell>
          <cell r="H386">
            <v>82267.929999999993</v>
          </cell>
        </row>
        <row r="389">
          <cell r="A389" t="str">
            <v>II.</v>
          </cell>
          <cell r="C389" t="str">
            <v>URUTAN KERJA</v>
          </cell>
        </row>
        <row r="391">
          <cell r="A391">
            <v>1</v>
          </cell>
          <cell r="C391" t="str">
            <v>Excavator sekaligus memuat Agregate</v>
          </cell>
        </row>
        <row r="392">
          <cell r="C392" t="str">
            <v>ke dalam Dump Truck</v>
          </cell>
        </row>
        <row r="393">
          <cell r="A393">
            <v>2</v>
          </cell>
          <cell r="C393" t="str">
            <v>Dump Truck mengangkut Agregate</v>
          </cell>
        </row>
        <row r="394">
          <cell r="C394" t="str">
            <v>ke lokasi pekerjaan</v>
          </cell>
        </row>
        <row r="396">
          <cell r="A396" t="str">
            <v>III.</v>
          </cell>
          <cell r="C396" t="str">
            <v>PERHITUNGAN</v>
          </cell>
        </row>
        <row r="398">
          <cell r="C398" t="str">
            <v>EXCAVATOR</v>
          </cell>
          <cell r="E398" t="str">
            <v>(E10)</v>
          </cell>
        </row>
        <row r="399">
          <cell r="C399" t="str">
            <v>Kapasitas Bucket</v>
          </cell>
          <cell r="E399" t="str">
            <v>V</v>
          </cell>
          <cell r="F399">
            <v>0.5</v>
          </cell>
          <cell r="G399" t="str">
            <v>M3</v>
          </cell>
        </row>
        <row r="400">
          <cell r="C400" t="str">
            <v>Faktor Bucket</v>
          </cell>
          <cell r="E400" t="str">
            <v>Fb</v>
          </cell>
          <cell r="F400">
            <v>0.9</v>
          </cell>
          <cell r="G400" t="str">
            <v>-</v>
          </cell>
        </row>
        <row r="401">
          <cell r="C401" t="str">
            <v>Faktor  Efisiensi alat</v>
          </cell>
          <cell r="E401" t="str">
            <v>Fa</v>
          </cell>
          <cell r="F401">
            <v>0.83</v>
          </cell>
          <cell r="G401" t="str">
            <v>-</v>
          </cell>
        </row>
        <row r="402">
          <cell r="C402" t="str">
            <v>Waktu siklus</v>
          </cell>
          <cell r="E402" t="str">
            <v>Ts1</v>
          </cell>
        </row>
        <row r="403">
          <cell r="C403" t="str">
            <v>- Menggali / memuat</v>
          </cell>
          <cell r="E403" t="str">
            <v>T1</v>
          </cell>
          <cell r="F403">
            <v>0.45</v>
          </cell>
          <cell r="G403" t="str">
            <v>menit</v>
          </cell>
        </row>
        <row r="404">
          <cell r="C404" t="str">
            <v>- Lain-lain</v>
          </cell>
          <cell r="E404" t="str">
            <v>T2</v>
          </cell>
          <cell r="F404">
            <v>0.25</v>
          </cell>
          <cell r="G404" t="str">
            <v>menit</v>
          </cell>
        </row>
        <row r="405">
          <cell r="E405" t="str">
            <v>Ts1</v>
          </cell>
          <cell r="F405">
            <v>0.7</v>
          </cell>
          <cell r="G405" t="str">
            <v>menit</v>
          </cell>
        </row>
        <row r="406">
          <cell r="C406" t="str">
            <v>Kap. Prod. / jam =</v>
          </cell>
        </row>
        <row r="407">
          <cell r="C407" t="str">
            <v>V  x Fb x Fa x 60</v>
          </cell>
          <cell r="E407" t="str">
            <v>Q1</v>
          </cell>
          <cell r="F407">
            <v>32.014299999999999</v>
          </cell>
          <cell r="G407" t="str">
            <v>M3 / Jam</v>
          </cell>
        </row>
        <row r="408">
          <cell r="C408" t="str">
            <v>Ts1</v>
          </cell>
        </row>
        <row r="413">
          <cell r="C413" t="str">
            <v>DUMP TRUCK</v>
          </cell>
          <cell r="E413" t="str">
            <v>(E08)</v>
          </cell>
        </row>
        <row r="414">
          <cell r="C414" t="str">
            <v>Kapasitas bak</v>
          </cell>
          <cell r="E414" t="str">
            <v>V</v>
          </cell>
          <cell r="F414">
            <v>4</v>
          </cell>
          <cell r="G414" t="str">
            <v>M3</v>
          </cell>
        </row>
        <row r="415">
          <cell r="C415" t="str">
            <v>Faktor  efisiensi alat</v>
          </cell>
          <cell r="E415" t="str">
            <v>Fa</v>
          </cell>
          <cell r="F415">
            <v>0.83</v>
          </cell>
          <cell r="G415" t="str">
            <v>-</v>
          </cell>
        </row>
        <row r="416">
          <cell r="C416" t="str">
            <v>Kecepatan rata-rata bermuatan</v>
          </cell>
          <cell r="E416" t="str">
            <v>v1</v>
          </cell>
          <cell r="F416">
            <v>40</v>
          </cell>
          <cell r="G416" t="str">
            <v>KM/Jam</v>
          </cell>
        </row>
        <row r="417">
          <cell r="C417" t="str">
            <v>Kecepatan rata-rata kosong</v>
          </cell>
          <cell r="E417" t="str">
            <v>v2</v>
          </cell>
          <cell r="F417">
            <v>60</v>
          </cell>
          <cell r="G417" t="str">
            <v>KM/Jam</v>
          </cell>
        </row>
        <row r="418">
          <cell r="C418" t="str">
            <v>Waktu  siklus</v>
          </cell>
          <cell r="E418" t="str">
            <v>Ts2</v>
          </cell>
        </row>
        <row r="419">
          <cell r="C419" t="str">
            <v>- Waktu tempuh isi  =  (L/v1) x 60</v>
          </cell>
          <cell r="E419" t="str">
            <v>T1</v>
          </cell>
          <cell r="F419">
            <v>75</v>
          </cell>
          <cell r="G419" t="str">
            <v>menit</v>
          </cell>
        </row>
        <row r="420">
          <cell r="C420" t="str">
            <v>- Waktu tempuh kosong  =  (L/v2) x 60</v>
          </cell>
          <cell r="E420" t="str">
            <v>T2</v>
          </cell>
          <cell r="F420">
            <v>50</v>
          </cell>
          <cell r="G420" t="str">
            <v>menit</v>
          </cell>
        </row>
        <row r="421">
          <cell r="C421" t="str">
            <v>- Muat   =  (V/Q1) x 60</v>
          </cell>
          <cell r="E421" t="str">
            <v>T3</v>
          </cell>
          <cell r="F421">
            <v>7.4965999999999999</v>
          </cell>
          <cell r="G421" t="str">
            <v>menit</v>
          </cell>
        </row>
        <row r="422">
          <cell r="C422" t="str">
            <v>- Lain-lain</v>
          </cell>
          <cell r="E422" t="str">
            <v>T4</v>
          </cell>
          <cell r="F422">
            <v>1</v>
          </cell>
          <cell r="G422" t="str">
            <v>menit</v>
          </cell>
        </row>
        <row r="423">
          <cell r="E423" t="str">
            <v>Ts2</v>
          </cell>
          <cell r="F423">
            <v>133.4966</v>
          </cell>
          <cell r="G423" t="str">
            <v>menit</v>
          </cell>
        </row>
        <row r="425">
          <cell r="H425" t="str">
            <v xml:space="preserve">Bersambung  </v>
          </cell>
        </row>
        <row r="426">
          <cell r="A426" t="str">
            <v>ANALISA HARGA DASAR SATUAN BAHAN</v>
          </cell>
        </row>
        <row r="428">
          <cell r="A428" t="str">
            <v>Jenis</v>
          </cell>
          <cell r="B428" t="str">
            <v>:</v>
          </cell>
          <cell r="C428" t="str">
            <v>M03a  -  Agregate Kasar, untuk Lapen</v>
          </cell>
        </row>
        <row r="429">
          <cell r="A429" t="str">
            <v>Lokasi</v>
          </cell>
          <cell r="B429" t="str">
            <v>:</v>
          </cell>
          <cell r="C429" t="str">
            <v>Quarry</v>
          </cell>
        </row>
        <row r="430">
          <cell r="A430" t="str">
            <v>Tujuan</v>
          </cell>
          <cell r="B430" t="str">
            <v>:</v>
          </cell>
          <cell r="C430" t="str">
            <v>Base Camp.</v>
          </cell>
        </row>
        <row r="432">
          <cell r="H432" t="str">
            <v xml:space="preserve">Lanjutan  </v>
          </cell>
        </row>
        <row r="433">
          <cell r="H433" t="str">
            <v>HARGA</v>
          </cell>
        </row>
        <row r="434">
          <cell r="A434" t="str">
            <v>No.</v>
          </cell>
          <cell r="B434" t="str">
            <v>URAIAN</v>
          </cell>
          <cell r="E434" t="str">
            <v>KODE</v>
          </cell>
          <cell r="F434" t="str">
            <v>KOEF.</v>
          </cell>
          <cell r="G434" t="str">
            <v>SATUAN</v>
          </cell>
          <cell r="H434" t="str">
            <v>SATUAN</v>
          </cell>
        </row>
        <row r="435">
          <cell r="H435" t="str">
            <v>(Rp.)</v>
          </cell>
        </row>
        <row r="437">
          <cell r="C437" t="str">
            <v>Kapasitas Produksi / Jam   =</v>
          </cell>
        </row>
        <row r="438">
          <cell r="C438" t="str">
            <v>V x Fa x 60</v>
          </cell>
          <cell r="E438" t="str">
            <v>Q2</v>
          </cell>
          <cell r="F438">
            <v>1.4922</v>
          </cell>
          <cell r="G438" t="str">
            <v>M3 / Jam</v>
          </cell>
        </row>
        <row r="439">
          <cell r="C439" t="str">
            <v>Ts2</v>
          </cell>
        </row>
        <row r="441">
          <cell r="C441" t="str">
            <v>Biaya Dump Truck / M3  =  (1 : Q2) x RpE08</v>
          </cell>
          <cell r="E441" t="str">
            <v>Rp1</v>
          </cell>
          <cell r="F441">
            <v>55131.972900000001</v>
          </cell>
          <cell r="G441" t="str">
            <v>Rupiah</v>
          </cell>
        </row>
        <row r="444">
          <cell r="A444" t="str">
            <v>IV.</v>
          </cell>
          <cell r="C444" t="str">
            <v>HARGA SATUAN DASAR BAHAN</v>
          </cell>
        </row>
        <row r="445">
          <cell r="C445" t="str">
            <v>DI LOKASI PEKERJAAN</v>
          </cell>
        </row>
        <row r="447">
          <cell r="C447" t="str">
            <v>Harga Satuan Dasar  Agregate  =</v>
          </cell>
        </row>
        <row r="449">
          <cell r="C449" t="str">
            <v>(  RpM03a  +  Rp1    )</v>
          </cell>
          <cell r="E449" t="str">
            <v>M03a</v>
          </cell>
          <cell r="F449">
            <v>120131.97289999999</v>
          </cell>
          <cell r="G449" t="str">
            <v>Rupiah</v>
          </cell>
        </row>
        <row r="451">
          <cell r="C451" t="str">
            <v>Dibulatkan   :</v>
          </cell>
          <cell r="E451" t="str">
            <v>M03a</v>
          </cell>
          <cell r="F451">
            <v>120100</v>
          </cell>
          <cell r="G451" t="str">
            <v>Rupiah</v>
          </cell>
        </row>
        <row r="482">
          <cell r="A482" t="str">
            <v>ANALISA HARGA DASAR SATUAN BAHAN</v>
          </cell>
        </row>
        <row r="484">
          <cell r="A484" t="str">
            <v>Jenis</v>
          </cell>
          <cell r="B484" t="str">
            <v>:</v>
          </cell>
          <cell r="C484" t="str">
            <v>M04  -  Agregate Halus, untuk Base.</v>
          </cell>
        </row>
        <row r="485">
          <cell r="A485" t="str">
            <v>Lokasi</v>
          </cell>
          <cell r="B485" t="str">
            <v>:</v>
          </cell>
          <cell r="C485" t="str">
            <v>Quarry</v>
          </cell>
        </row>
        <row r="486">
          <cell r="A486" t="str">
            <v>Tujuan</v>
          </cell>
          <cell r="B486" t="str">
            <v>:</v>
          </cell>
          <cell r="C486" t="str">
            <v>Base Camp.</v>
          </cell>
        </row>
        <row r="488">
          <cell r="H488" t="str">
            <v>HARGA</v>
          </cell>
        </row>
        <row r="489">
          <cell r="A489" t="str">
            <v>No.</v>
          </cell>
          <cell r="B489" t="str">
            <v>URAIAN</v>
          </cell>
          <cell r="E489" t="str">
            <v>KODE</v>
          </cell>
          <cell r="F489" t="str">
            <v>KOEF.</v>
          </cell>
          <cell r="G489" t="str">
            <v>SATUAN</v>
          </cell>
          <cell r="H489" t="str">
            <v>SATUAN</v>
          </cell>
        </row>
        <row r="490">
          <cell r="H490" t="str">
            <v>(Rp.)</v>
          </cell>
        </row>
        <row r="492">
          <cell r="A492" t="str">
            <v>I.</v>
          </cell>
          <cell r="C492" t="str">
            <v>ASUMSI</v>
          </cell>
        </row>
        <row r="493">
          <cell r="A493">
            <v>1</v>
          </cell>
          <cell r="C493" t="str">
            <v>Menggunakan alat berat</v>
          </cell>
        </row>
        <row r="494">
          <cell r="A494">
            <v>2</v>
          </cell>
          <cell r="C494" t="str">
            <v>Kondisi Jalan   :  sedang / baik</v>
          </cell>
        </row>
        <row r="495">
          <cell r="A495">
            <v>3</v>
          </cell>
          <cell r="C495" t="str">
            <v>Jarak Quarry ke Base Camp.</v>
          </cell>
          <cell r="E495" t="str">
            <v>L</v>
          </cell>
          <cell r="F495">
            <v>0</v>
          </cell>
          <cell r="G495" t="str">
            <v>Km</v>
          </cell>
        </row>
        <row r="496">
          <cell r="A496">
            <v>4</v>
          </cell>
          <cell r="C496" t="str">
            <v>Harga satuan Agregate di Quarry</v>
          </cell>
          <cell r="E496" t="str">
            <v>RpM04</v>
          </cell>
          <cell r="F496">
            <v>1</v>
          </cell>
          <cell r="G496" t="str">
            <v>M3</v>
          </cell>
          <cell r="H496">
            <v>0</v>
          </cell>
        </row>
        <row r="497">
          <cell r="A497">
            <v>5</v>
          </cell>
          <cell r="C497" t="str">
            <v>Harga Satuan Dasar Dump Truck</v>
          </cell>
          <cell r="E497" t="str">
            <v>RpE08</v>
          </cell>
          <cell r="F497">
            <v>1</v>
          </cell>
          <cell r="G497" t="str">
            <v>Jam</v>
          </cell>
          <cell r="H497">
            <v>82267.929999999993</v>
          </cell>
        </row>
        <row r="500">
          <cell r="A500" t="str">
            <v>II.</v>
          </cell>
          <cell r="C500" t="str">
            <v>URUTAN KERJA</v>
          </cell>
        </row>
        <row r="502">
          <cell r="A502">
            <v>1</v>
          </cell>
          <cell r="C502" t="str">
            <v>Excavator sekaligus memuat Agregate</v>
          </cell>
        </row>
        <row r="503">
          <cell r="C503" t="str">
            <v>ke dalam Dump Truck</v>
          </cell>
        </row>
        <row r="504">
          <cell r="A504">
            <v>2</v>
          </cell>
          <cell r="C504" t="str">
            <v>Dump Truck mengangkut Agregate</v>
          </cell>
        </row>
        <row r="505">
          <cell r="C505" t="str">
            <v>ke lokasi pekerjaan</v>
          </cell>
        </row>
        <row r="507">
          <cell r="A507" t="str">
            <v>III.</v>
          </cell>
          <cell r="C507" t="str">
            <v>PERHITUNGAN</v>
          </cell>
        </row>
        <row r="509">
          <cell r="C509" t="str">
            <v>EXCAVATOR</v>
          </cell>
          <cell r="E509" t="str">
            <v>(E10)</v>
          </cell>
        </row>
        <row r="510">
          <cell r="C510" t="str">
            <v>Kapasitas Bucket</v>
          </cell>
          <cell r="E510" t="str">
            <v>V</v>
          </cell>
          <cell r="F510">
            <v>0.5</v>
          </cell>
          <cell r="G510" t="str">
            <v>M3</v>
          </cell>
        </row>
        <row r="511">
          <cell r="C511" t="str">
            <v>Faktor Bucket</v>
          </cell>
          <cell r="E511" t="str">
            <v>Fb</v>
          </cell>
          <cell r="F511">
            <v>0.9</v>
          </cell>
          <cell r="G511" t="str">
            <v>-</v>
          </cell>
        </row>
        <row r="512">
          <cell r="C512" t="str">
            <v>Faktor  Efisiensi alat</v>
          </cell>
          <cell r="E512" t="str">
            <v>Fa</v>
          </cell>
          <cell r="F512">
            <v>0.83</v>
          </cell>
          <cell r="G512" t="str">
            <v>-</v>
          </cell>
        </row>
        <row r="513">
          <cell r="C513" t="str">
            <v>Waktu siklus</v>
          </cell>
          <cell r="E513" t="str">
            <v>Ts1</v>
          </cell>
        </row>
        <row r="514">
          <cell r="C514" t="str">
            <v>- Menggali / memuat</v>
          </cell>
          <cell r="E514" t="str">
            <v>T1</v>
          </cell>
          <cell r="F514">
            <v>0.45</v>
          </cell>
          <cell r="G514" t="str">
            <v>menit</v>
          </cell>
        </row>
        <row r="515">
          <cell r="C515" t="str">
            <v>- Lain-lain</v>
          </cell>
          <cell r="E515" t="str">
            <v>T2</v>
          </cell>
          <cell r="F515">
            <v>0.25</v>
          </cell>
          <cell r="G515" t="str">
            <v>menit</v>
          </cell>
        </row>
        <row r="516">
          <cell r="E516" t="str">
            <v>Ts1</v>
          </cell>
          <cell r="F516">
            <v>0.7</v>
          </cell>
          <cell r="G516" t="str">
            <v>menit</v>
          </cell>
        </row>
        <row r="517">
          <cell r="C517" t="str">
            <v>Kap. Prod. / jam =</v>
          </cell>
        </row>
        <row r="518">
          <cell r="C518" t="str">
            <v>V  x Fb x Fa x 60</v>
          </cell>
          <cell r="E518" t="str">
            <v>Q1</v>
          </cell>
          <cell r="F518">
            <v>32.014299999999999</v>
          </cell>
          <cell r="G518" t="str">
            <v>M3 / Jam</v>
          </cell>
        </row>
        <row r="519">
          <cell r="C519" t="str">
            <v>Ts1</v>
          </cell>
        </row>
        <row r="524">
          <cell r="C524" t="str">
            <v>DUMP TRUCK</v>
          </cell>
          <cell r="E524" t="str">
            <v>(E08)</v>
          </cell>
        </row>
        <row r="525">
          <cell r="C525" t="str">
            <v>Kapasitas bak</v>
          </cell>
          <cell r="E525" t="str">
            <v>V</v>
          </cell>
          <cell r="F525">
            <v>4</v>
          </cell>
          <cell r="G525" t="str">
            <v>M3</v>
          </cell>
        </row>
        <row r="526">
          <cell r="C526" t="str">
            <v>Faktor  efisiensi alat</v>
          </cell>
          <cell r="E526" t="str">
            <v>Fa</v>
          </cell>
          <cell r="F526">
            <v>0.83</v>
          </cell>
          <cell r="G526" t="str">
            <v>-</v>
          </cell>
        </row>
        <row r="527">
          <cell r="C527" t="str">
            <v>Kecepatan rata-rata bermuatan</v>
          </cell>
          <cell r="E527" t="str">
            <v>v1</v>
          </cell>
          <cell r="F527">
            <v>40</v>
          </cell>
          <cell r="G527" t="str">
            <v>KM/Jam</v>
          </cell>
        </row>
        <row r="528">
          <cell r="C528" t="str">
            <v>Kecepatan rata-rata kosong</v>
          </cell>
          <cell r="E528" t="str">
            <v>v2</v>
          </cell>
          <cell r="F528">
            <v>60</v>
          </cell>
          <cell r="G528" t="str">
            <v>KM/Jam</v>
          </cell>
        </row>
        <row r="529">
          <cell r="C529" t="str">
            <v>Waktu  siklus</v>
          </cell>
          <cell r="E529" t="str">
            <v>Ts2</v>
          </cell>
        </row>
        <row r="530">
          <cell r="C530" t="str">
            <v>- Waktu tempuh isi  =  (L/v1) x 60</v>
          </cell>
          <cell r="E530" t="str">
            <v>T1</v>
          </cell>
          <cell r="F530">
            <v>0</v>
          </cell>
          <cell r="G530" t="str">
            <v>menit</v>
          </cell>
        </row>
        <row r="531">
          <cell r="C531" t="str">
            <v>- Waktu tempuh kosong  =  (L/v2) x 60</v>
          </cell>
          <cell r="E531" t="str">
            <v>T2</v>
          </cell>
          <cell r="F531">
            <v>0</v>
          </cell>
          <cell r="G531" t="str">
            <v>menit</v>
          </cell>
        </row>
        <row r="532">
          <cell r="C532" t="str">
            <v>- Muat   =  (V/Q1) x 60</v>
          </cell>
          <cell r="E532" t="str">
            <v>T3</v>
          </cell>
          <cell r="F532">
            <v>7.4965999999999999</v>
          </cell>
          <cell r="G532" t="str">
            <v>menit</v>
          </cell>
        </row>
        <row r="533">
          <cell r="C533" t="str">
            <v>- Lain-lain</v>
          </cell>
          <cell r="E533" t="str">
            <v>T4</v>
          </cell>
          <cell r="F533">
            <v>1</v>
          </cell>
          <cell r="G533" t="str">
            <v>menit</v>
          </cell>
        </row>
        <row r="534">
          <cell r="E534" t="str">
            <v>Ts2</v>
          </cell>
          <cell r="F534">
            <v>8.4966000000000008</v>
          </cell>
          <cell r="G534" t="str">
            <v>menit</v>
          </cell>
        </row>
        <row r="536">
          <cell r="H536" t="str">
            <v xml:space="preserve">Bersambung  </v>
          </cell>
        </row>
        <row r="537">
          <cell r="A537" t="str">
            <v>ANALISA HARGA DASAR SATUAN BAHAN</v>
          </cell>
        </row>
        <row r="539">
          <cell r="A539" t="str">
            <v>Jenis</v>
          </cell>
          <cell r="B539" t="str">
            <v>:</v>
          </cell>
          <cell r="C539" t="str">
            <v>M04  -  Agregate Halus, untuk Base.</v>
          </cell>
        </row>
        <row r="540">
          <cell r="A540" t="str">
            <v>Lokasi</v>
          </cell>
          <cell r="B540" t="str">
            <v>:</v>
          </cell>
          <cell r="C540" t="str">
            <v>Quarry</v>
          </cell>
        </row>
        <row r="541">
          <cell r="A541" t="str">
            <v>Tujuan</v>
          </cell>
          <cell r="B541" t="str">
            <v>:</v>
          </cell>
          <cell r="C541" t="str">
            <v>Base Camp.</v>
          </cell>
        </row>
        <row r="543">
          <cell r="H543" t="str">
            <v xml:space="preserve">Lanjutan  </v>
          </cell>
        </row>
        <row r="544">
          <cell r="H544" t="str">
            <v>HARGA</v>
          </cell>
        </row>
        <row r="545">
          <cell r="A545" t="str">
            <v>No.</v>
          </cell>
          <cell r="B545" t="str">
            <v>URAIAN</v>
          </cell>
          <cell r="E545" t="str">
            <v>KODE</v>
          </cell>
          <cell r="F545" t="str">
            <v>KOEF.</v>
          </cell>
          <cell r="G545" t="str">
            <v>SATUAN</v>
          </cell>
          <cell r="H545" t="str">
            <v>SATUAN</v>
          </cell>
        </row>
        <row r="546">
          <cell r="H546" t="str">
            <v>(Rp.)</v>
          </cell>
        </row>
        <row r="548">
          <cell r="C548" t="str">
            <v>Kapasitas Produksi / Jam   =</v>
          </cell>
        </row>
        <row r="549">
          <cell r="C549" t="str">
            <v>V x Fa x 60</v>
          </cell>
          <cell r="E549" t="str">
            <v>Q2</v>
          </cell>
          <cell r="F549">
            <v>23.444700000000001</v>
          </cell>
          <cell r="G549" t="str">
            <v>M3 / Jam</v>
          </cell>
        </row>
        <row r="550">
          <cell r="C550" t="str">
            <v>Ts2</v>
          </cell>
        </row>
        <row r="552">
          <cell r="C552" t="str">
            <v>Biaya Dump Truck / M3  =  (1 : Q2) x RpE08</v>
          </cell>
          <cell r="E552" t="str">
            <v>Rp1</v>
          </cell>
          <cell r="F552">
            <v>3509.0203999999999</v>
          </cell>
          <cell r="G552" t="str">
            <v>Rupiah</v>
          </cell>
        </row>
        <row r="555">
          <cell r="A555" t="str">
            <v>IV.</v>
          </cell>
          <cell r="C555" t="str">
            <v>HARGA SATUAN DASAR BAHAN</v>
          </cell>
        </row>
        <row r="556">
          <cell r="C556" t="str">
            <v>DI LOKASI PEKERJAAN</v>
          </cell>
        </row>
        <row r="558">
          <cell r="C558" t="str">
            <v>Harga Satuan Dasar  Agregate  =</v>
          </cell>
        </row>
        <row r="560">
          <cell r="C560" t="str">
            <v>(  RpM04  +  Rp1    )</v>
          </cell>
          <cell r="E560" t="str">
            <v>M04</v>
          </cell>
          <cell r="F560">
            <v>3509.0203999999999</v>
          </cell>
          <cell r="G560" t="str">
            <v>Rupiah</v>
          </cell>
        </row>
        <row r="562">
          <cell r="C562" t="str">
            <v>Dibulatkan   :</v>
          </cell>
          <cell r="E562" t="str">
            <v>M04</v>
          </cell>
          <cell r="F562">
            <v>3500</v>
          </cell>
          <cell r="G562" t="str">
            <v>Rupiah</v>
          </cell>
        </row>
        <row r="593">
          <cell r="A593" t="str">
            <v>ANALISA HARGA DASAR SATUAN BAHAN</v>
          </cell>
        </row>
        <row r="595">
          <cell r="A595" t="str">
            <v>Jenis</v>
          </cell>
          <cell r="B595" t="str">
            <v>:</v>
          </cell>
          <cell r="C595" t="str">
            <v>M04.a  -  Agregate Halus, untuk Lapen</v>
          </cell>
        </row>
        <row r="596">
          <cell r="A596" t="str">
            <v>Lokasi</v>
          </cell>
          <cell r="B596" t="str">
            <v>:</v>
          </cell>
          <cell r="C596" t="str">
            <v>Quarry</v>
          </cell>
        </row>
        <row r="597">
          <cell r="A597" t="str">
            <v>Tujuan</v>
          </cell>
          <cell r="B597" t="str">
            <v>:</v>
          </cell>
          <cell r="C597" t="str">
            <v>Base Camp.</v>
          </cell>
        </row>
        <row r="599">
          <cell r="H599" t="str">
            <v>HARGA</v>
          </cell>
        </row>
        <row r="600">
          <cell r="A600" t="str">
            <v>No.</v>
          </cell>
          <cell r="B600" t="str">
            <v>URAIAN</v>
          </cell>
          <cell r="E600" t="str">
            <v>KODE</v>
          </cell>
          <cell r="F600" t="str">
            <v>KOEF.</v>
          </cell>
          <cell r="G600" t="str">
            <v>SATUAN</v>
          </cell>
          <cell r="H600" t="str">
            <v>SATUAN</v>
          </cell>
        </row>
        <row r="601">
          <cell r="H601" t="str">
            <v>(Rp.)</v>
          </cell>
        </row>
        <row r="603">
          <cell r="A603" t="str">
            <v>I.</v>
          </cell>
          <cell r="C603" t="str">
            <v>ASUMSI</v>
          </cell>
        </row>
        <row r="604">
          <cell r="A604">
            <v>1</v>
          </cell>
          <cell r="C604" t="str">
            <v>Menggunakan alat berat</v>
          </cell>
        </row>
        <row r="605">
          <cell r="A605">
            <v>2</v>
          </cell>
          <cell r="C605" t="str">
            <v>Kondisi Jalan   :  sedang / baik</v>
          </cell>
        </row>
        <row r="606">
          <cell r="A606">
            <v>3</v>
          </cell>
          <cell r="C606" t="str">
            <v>Jarak Quarry ke Base Camp.</v>
          </cell>
          <cell r="E606" t="str">
            <v>L</v>
          </cell>
          <cell r="F606">
            <v>50</v>
          </cell>
          <cell r="G606" t="str">
            <v>Km</v>
          </cell>
        </row>
        <row r="607">
          <cell r="A607">
            <v>4</v>
          </cell>
          <cell r="C607" t="str">
            <v>Harga satuan Agregate di Quarry</v>
          </cell>
          <cell r="E607" t="str">
            <v>RpM04a</v>
          </cell>
          <cell r="F607">
            <v>1</v>
          </cell>
          <cell r="G607" t="str">
            <v>M3</v>
          </cell>
          <cell r="H607">
            <v>60000</v>
          </cell>
        </row>
        <row r="608">
          <cell r="A608">
            <v>5</v>
          </cell>
          <cell r="C608" t="str">
            <v>Harga Satuan Dasar Dump Truck</v>
          </cell>
          <cell r="E608" t="str">
            <v>RpE08</v>
          </cell>
          <cell r="F608">
            <v>1</v>
          </cell>
          <cell r="G608" t="str">
            <v>Jam</v>
          </cell>
          <cell r="H608">
            <v>82267.929999999993</v>
          </cell>
        </row>
        <row r="611">
          <cell r="A611" t="str">
            <v>II.</v>
          </cell>
          <cell r="C611" t="str">
            <v>URUTAN KERJA</v>
          </cell>
        </row>
        <row r="613">
          <cell r="A613">
            <v>1</v>
          </cell>
          <cell r="C613" t="str">
            <v>Excavator sekaligus memuat Agregate</v>
          </cell>
        </row>
        <row r="614">
          <cell r="C614" t="str">
            <v>ke dalam Dump Truck</v>
          </cell>
        </row>
        <row r="615">
          <cell r="A615">
            <v>2</v>
          </cell>
          <cell r="C615" t="str">
            <v>Dump Truck mengangkut Agregate</v>
          </cell>
        </row>
        <row r="616">
          <cell r="C616" t="str">
            <v>ke lokasi pekerjaan</v>
          </cell>
        </row>
        <row r="618">
          <cell r="A618" t="str">
            <v>III.</v>
          </cell>
          <cell r="C618" t="str">
            <v>PERHITUNGAN</v>
          </cell>
        </row>
        <row r="620">
          <cell r="C620" t="str">
            <v>EXCAVATOR</v>
          </cell>
          <cell r="E620" t="str">
            <v>(E10)</v>
          </cell>
        </row>
        <row r="621">
          <cell r="C621" t="str">
            <v>Kapasitas Bucket</v>
          </cell>
          <cell r="E621" t="str">
            <v>V</v>
          </cell>
          <cell r="F621">
            <v>0.5</v>
          </cell>
          <cell r="G621" t="str">
            <v>M3</v>
          </cell>
        </row>
        <row r="622">
          <cell r="C622" t="str">
            <v>Faktor Bucket</v>
          </cell>
          <cell r="E622" t="str">
            <v>Fb</v>
          </cell>
          <cell r="F622">
            <v>0.9</v>
          </cell>
          <cell r="G622" t="str">
            <v>-</v>
          </cell>
        </row>
        <row r="623">
          <cell r="C623" t="str">
            <v>Faktor  Efisiensi alat</v>
          </cell>
          <cell r="E623" t="str">
            <v>Fa</v>
          </cell>
          <cell r="F623">
            <v>0.83</v>
          </cell>
          <cell r="G623" t="str">
            <v>-</v>
          </cell>
        </row>
        <row r="624">
          <cell r="C624" t="str">
            <v>Waktu siklus</v>
          </cell>
          <cell r="E624" t="str">
            <v>Ts1</v>
          </cell>
        </row>
        <row r="625">
          <cell r="C625" t="str">
            <v>- Menggali / memuat</v>
          </cell>
          <cell r="E625" t="str">
            <v>T1</v>
          </cell>
          <cell r="F625">
            <v>0.45</v>
          </cell>
          <cell r="G625" t="str">
            <v>menit</v>
          </cell>
        </row>
        <row r="626">
          <cell r="C626" t="str">
            <v>- Lain-lain</v>
          </cell>
          <cell r="E626" t="str">
            <v>T2</v>
          </cell>
          <cell r="F626">
            <v>0.25</v>
          </cell>
          <cell r="G626" t="str">
            <v>menit</v>
          </cell>
        </row>
        <row r="627">
          <cell r="E627" t="str">
            <v>Ts1</v>
          </cell>
          <cell r="F627">
            <v>0.7</v>
          </cell>
          <cell r="G627" t="str">
            <v>menit</v>
          </cell>
        </row>
        <row r="628">
          <cell r="C628" t="str">
            <v>Kap. Prod. / jam =</v>
          </cell>
        </row>
        <row r="629">
          <cell r="C629" t="str">
            <v>V  x Fb x Fa x 60</v>
          </cell>
          <cell r="E629" t="str">
            <v>Q1</v>
          </cell>
          <cell r="F629">
            <v>32.014299999999999</v>
          </cell>
          <cell r="G629" t="str">
            <v>M3 / Jam</v>
          </cell>
        </row>
        <row r="630">
          <cell r="C630" t="str">
            <v>Ts1</v>
          </cell>
        </row>
        <row r="635">
          <cell r="C635" t="str">
            <v>DUMP TRUCK</v>
          </cell>
          <cell r="E635" t="str">
            <v>(E08)</v>
          </cell>
        </row>
        <row r="636">
          <cell r="C636" t="str">
            <v>Kapasitas bak</v>
          </cell>
          <cell r="E636" t="str">
            <v>V</v>
          </cell>
          <cell r="F636">
            <v>4</v>
          </cell>
          <cell r="G636" t="str">
            <v>M3</v>
          </cell>
        </row>
        <row r="637">
          <cell r="C637" t="str">
            <v>Faktor  efisiensi alat</v>
          </cell>
          <cell r="E637" t="str">
            <v>Fa</v>
          </cell>
          <cell r="F637">
            <v>0.83</v>
          </cell>
          <cell r="G637" t="str">
            <v>-</v>
          </cell>
        </row>
        <row r="638">
          <cell r="C638" t="str">
            <v>Kecepatan rata-rata bermuatan</v>
          </cell>
          <cell r="E638" t="str">
            <v>v1</v>
          </cell>
          <cell r="F638">
            <v>40</v>
          </cell>
          <cell r="G638" t="str">
            <v>KM/Jam</v>
          </cell>
        </row>
        <row r="639">
          <cell r="C639" t="str">
            <v>Kecepatan rata-rata kosong</v>
          </cell>
          <cell r="E639" t="str">
            <v>v2</v>
          </cell>
          <cell r="F639">
            <v>60</v>
          </cell>
          <cell r="G639" t="str">
            <v>KM/Jam</v>
          </cell>
        </row>
        <row r="640">
          <cell r="C640" t="str">
            <v>Waktu  siklus</v>
          </cell>
          <cell r="E640" t="str">
            <v>Ts2</v>
          </cell>
        </row>
        <row r="641">
          <cell r="C641" t="str">
            <v>- Waktu tempuh isi  =  (L/v1) x 60</v>
          </cell>
          <cell r="E641" t="str">
            <v>T1</v>
          </cell>
          <cell r="F641">
            <v>75</v>
          </cell>
          <cell r="G641" t="str">
            <v>menit</v>
          </cell>
        </row>
        <row r="642">
          <cell r="C642" t="str">
            <v>- Waktu tempuh kosong  =  (L/v2) x 60</v>
          </cell>
          <cell r="E642" t="str">
            <v>T2</v>
          </cell>
          <cell r="F642">
            <v>50</v>
          </cell>
          <cell r="G642" t="str">
            <v>menit</v>
          </cell>
        </row>
        <row r="643">
          <cell r="C643" t="str">
            <v>- Muat   =  (V/Q1) x 60</v>
          </cell>
          <cell r="E643" t="str">
            <v>T3</v>
          </cell>
          <cell r="F643">
            <v>7.4965999999999999</v>
          </cell>
          <cell r="G643" t="str">
            <v>menit</v>
          </cell>
        </row>
        <row r="644">
          <cell r="C644" t="str">
            <v>- Lain-lain</v>
          </cell>
          <cell r="E644" t="str">
            <v>T4</v>
          </cell>
          <cell r="F644">
            <v>1</v>
          </cell>
          <cell r="G644" t="str">
            <v>menit</v>
          </cell>
        </row>
        <row r="645">
          <cell r="E645" t="str">
            <v>Ts2</v>
          </cell>
          <cell r="F645">
            <v>133.4966</v>
          </cell>
          <cell r="G645" t="str">
            <v>menit</v>
          </cell>
        </row>
        <row r="647">
          <cell r="H647" t="str">
            <v xml:space="preserve">Bersambung  </v>
          </cell>
        </row>
        <row r="648">
          <cell r="A648" t="str">
            <v>ANALISA HARGA DASAR SATUAN BAHAN</v>
          </cell>
        </row>
        <row r="650">
          <cell r="A650" t="str">
            <v>Jenis</v>
          </cell>
          <cell r="B650" t="str">
            <v>:</v>
          </cell>
          <cell r="C650" t="str">
            <v>M04.a  -  Agregate Halus, untuk Lapen</v>
          </cell>
        </row>
        <row r="651">
          <cell r="A651" t="str">
            <v>Lokasi</v>
          </cell>
          <cell r="B651" t="str">
            <v>:</v>
          </cell>
          <cell r="C651" t="str">
            <v>Quarry</v>
          </cell>
        </row>
        <row r="652">
          <cell r="A652" t="str">
            <v>Tujuan</v>
          </cell>
          <cell r="B652" t="str">
            <v>:</v>
          </cell>
          <cell r="C652" t="str">
            <v>Base Camp.</v>
          </cell>
        </row>
        <row r="654">
          <cell r="H654" t="str">
            <v xml:space="preserve">Lanjutan  </v>
          </cell>
        </row>
        <row r="655">
          <cell r="H655" t="str">
            <v>HARGA</v>
          </cell>
        </row>
        <row r="656">
          <cell r="A656" t="str">
            <v>No.</v>
          </cell>
          <cell r="B656" t="str">
            <v>URAIAN</v>
          </cell>
          <cell r="E656" t="str">
            <v>KODE</v>
          </cell>
          <cell r="F656" t="str">
            <v>KOEF.</v>
          </cell>
          <cell r="G656" t="str">
            <v>SATUAN</v>
          </cell>
          <cell r="H656" t="str">
            <v>SATUAN</v>
          </cell>
        </row>
        <row r="657">
          <cell r="H657" t="str">
            <v>(Rp.)</v>
          </cell>
        </row>
        <row r="659">
          <cell r="C659" t="str">
            <v>Kapasitas Produksi / Jam   =</v>
          </cell>
        </row>
        <row r="660">
          <cell r="C660" t="str">
            <v>V x Fa x 60</v>
          </cell>
          <cell r="E660" t="str">
            <v>Q2</v>
          </cell>
          <cell r="F660">
            <v>1.4922</v>
          </cell>
          <cell r="G660" t="str">
            <v>M3 / Jam</v>
          </cell>
        </row>
        <row r="661">
          <cell r="C661" t="str">
            <v>Ts2</v>
          </cell>
        </row>
        <row r="663">
          <cell r="C663" t="str">
            <v>Biaya Dump Truck / M3  =  (1 : Q2) x RpE08</v>
          </cell>
          <cell r="E663" t="str">
            <v>Rp1</v>
          </cell>
          <cell r="F663">
            <v>55131.972900000001</v>
          </cell>
          <cell r="G663" t="str">
            <v>Rupiah</v>
          </cell>
        </row>
        <row r="666">
          <cell r="A666" t="str">
            <v>IV.</v>
          </cell>
          <cell r="C666" t="str">
            <v>HARGA SATUAN DASAR BAHAN</v>
          </cell>
        </row>
        <row r="667">
          <cell r="C667" t="str">
            <v>DI LOKASI PEKERJAAN</v>
          </cell>
        </row>
        <row r="669">
          <cell r="C669" t="str">
            <v>Harga Satuan Dasar  Agregate  =</v>
          </cell>
        </row>
        <row r="671">
          <cell r="C671" t="str">
            <v>(  RpM04a  +  Rp1    )</v>
          </cell>
          <cell r="E671" t="str">
            <v>M04a</v>
          </cell>
          <cell r="F671">
            <v>115131.97289999999</v>
          </cell>
          <cell r="G671" t="str">
            <v>Rupiah</v>
          </cell>
        </row>
        <row r="673">
          <cell r="C673" t="str">
            <v>Dibulatkan   :</v>
          </cell>
          <cell r="E673" t="str">
            <v>M04a</v>
          </cell>
          <cell r="F673">
            <v>115100</v>
          </cell>
          <cell r="G673" t="str">
            <v>Rupiah</v>
          </cell>
        </row>
      </sheetData>
      <sheetData sheetId="6" refreshError="1">
        <row r="1">
          <cell r="A1" t="str">
            <v>DAFTAR</v>
          </cell>
        </row>
        <row r="2">
          <cell r="A2" t="str">
            <v>HARGA DASAR SATUAN UPAH</v>
          </cell>
        </row>
        <row r="4">
          <cell r="F4" t="str">
            <v>HARGA</v>
          </cell>
        </row>
        <row r="5">
          <cell r="A5" t="str">
            <v>No.</v>
          </cell>
          <cell r="B5" t="str">
            <v>U R A I A N</v>
          </cell>
          <cell r="D5" t="str">
            <v>KODE</v>
          </cell>
          <cell r="E5" t="str">
            <v>SATUAN</v>
          </cell>
          <cell r="F5" t="str">
            <v>SATUAN</v>
          </cell>
          <cell r="G5" t="str">
            <v>KETERANGAN</v>
          </cell>
        </row>
        <row r="6">
          <cell r="F6" t="str">
            <v>( Rp.)</v>
          </cell>
        </row>
        <row r="8">
          <cell r="A8" t="str">
            <v>1.</v>
          </cell>
          <cell r="C8" t="str">
            <v>Pekerja</v>
          </cell>
          <cell r="D8" t="str">
            <v>L01</v>
          </cell>
          <cell r="E8" t="str">
            <v>Jam</v>
          </cell>
          <cell r="F8">
            <v>2500</v>
          </cell>
        </row>
        <row r="10">
          <cell r="A10" t="str">
            <v>2.</v>
          </cell>
          <cell r="C10" t="str">
            <v>Tukang</v>
          </cell>
          <cell r="D10" t="str">
            <v>L02</v>
          </cell>
          <cell r="E10" t="str">
            <v>Jam</v>
          </cell>
          <cell r="F10">
            <v>3214.29</v>
          </cell>
        </row>
        <row r="12">
          <cell r="A12" t="str">
            <v>3.</v>
          </cell>
          <cell r="C12" t="str">
            <v>M a n d o r</v>
          </cell>
          <cell r="D12" t="str">
            <v>L03</v>
          </cell>
          <cell r="E12" t="str">
            <v>Jam</v>
          </cell>
          <cell r="F12">
            <v>3571.43</v>
          </cell>
        </row>
        <row r="14">
          <cell r="A14" t="str">
            <v>4.</v>
          </cell>
          <cell r="C14" t="str">
            <v>Operator</v>
          </cell>
          <cell r="D14" t="str">
            <v>L04</v>
          </cell>
          <cell r="E14" t="str">
            <v>Jam</v>
          </cell>
          <cell r="F14">
            <v>3571.43</v>
          </cell>
        </row>
        <row r="16">
          <cell r="A16" t="str">
            <v>5.</v>
          </cell>
          <cell r="C16" t="str">
            <v>Pembantu Operator</v>
          </cell>
          <cell r="D16" t="str">
            <v>L05</v>
          </cell>
          <cell r="E16" t="str">
            <v>Jam</v>
          </cell>
          <cell r="F16">
            <v>2500</v>
          </cell>
        </row>
        <row r="18">
          <cell r="A18" t="str">
            <v>6.</v>
          </cell>
          <cell r="C18" t="str">
            <v>Sopir / Driver</v>
          </cell>
          <cell r="D18" t="str">
            <v>L06</v>
          </cell>
          <cell r="E18" t="str">
            <v>Jam</v>
          </cell>
          <cell r="F18">
            <v>3571.43</v>
          </cell>
        </row>
        <row r="20">
          <cell r="A20" t="str">
            <v>7.</v>
          </cell>
          <cell r="C20" t="str">
            <v>Pembantu Sopir / Driver</v>
          </cell>
          <cell r="D20" t="str">
            <v>L07</v>
          </cell>
          <cell r="E20" t="str">
            <v>Jam</v>
          </cell>
          <cell r="F20">
            <v>2500</v>
          </cell>
        </row>
        <row r="22">
          <cell r="A22" t="str">
            <v>8.</v>
          </cell>
          <cell r="C22" t="str">
            <v>Mekanik</v>
          </cell>
          <cell r="D22" t="str">
            <v>L08</v>
          </cell>
          <cell r="E22" t="str">
            <v>Jam</v>
          </cell>
          <cell r="F22">
            <v>3571.43</v>
          </cell>
        </row>
        <row r="24">
          <cell r="A24" t="str">
            <v>9.</v>
          </cell>
          <cell r="C24" t="str">
            <v>Pembantu Mekanik</v>
          </cell>
          <cell r="D24" t="str">
            <v>L09</v>
          </cell>
          <cell r="E24" t="str">
            <v>Jam</v>
          </cell>
          <cell r="F24">
            <v>2500</v>
          </cell>
        </row>
        <row r="26">
          <cell r="A26" t="str">
            <v>10.</v>
          </cell>
          <cell r="C26" t="str">
            <v>Kepala Tukang</v>
          </cell>
          <cell r="D26" t="str">
            <v>L10</v>
          </cell>
          <cell r="E26" t="str">
            <v>Jam</v>
          </cell>
          <cell r="F26">
            <v>3571.43</v>
          </cell>
        </row>
        <row r="33">
          <cell r="A33" t="str">
            <v>DAFTAR</v>
          </cell>
        </row>
        <row r="34">
          <cell r="A34" t="str">
            <v>HARGA DASAR SATUAN BAHAN</v>
          </cell>
        </row>
        <row r="36">
          <cell r="F36" t="str">
            <v>HARGA</v>
          </cell>
        </row>
        <row r="37">
          <cell r="A37" t="str">
            <v>No.</v>
          </cell>
          <cell r="B37" t="str">
            <v>U R A I A N</v>
          </cell>
          <cell r="D37" t="str">
            <v>KODE</v>
          </cell>
          <cell r="E37" t="str">
            <v>SATUAN</v>
          </cell>
          <cell r="F37" t="str">
            <v>SATUAN</v>
          </cell>
          <cell r="G37" t="str">
            <v>KETERANGAN</v>
          </cell>
        </row>
        <row r="38">
          <cell r="F38" t="str">
            <v>( Rp.)</v>
          </cell>
        </row>
        <row r="40">
          <cell r="A40">
            <v>1</v>
          </cell>
          <cell r="C40" t="str">
            <v>P a s i r</v>
          </cell>
          <cell r="D40" t="str">
            <v>M01</v>
          </cell>
          <cell r="E40" t="str">
            <v>M3</v>
          </cell>
          <cell r="F40">
            <v>48500</v>
          </cell>
          <cell r="G40" t="str">
            <v xml:space="preserve"> Lokasi Pekerjaan</v>
          </cell>
        </row>
        <row r="41">
          <cell r="A41">
            <v>2</v>
          </cell>
          <cell r="C41" t="str">
            <v>Batu Kali</v>
          </cell>
          <cell r="D41" t="str">
            <v>M02</v>
          </cell>
          <cell r="E41" t="str">
            <v>M3</v>
          </cell>
          <cell r="F41">
            <v>0</v>
          </cell>
          <cell r="G41" t="str">
            <v xml:space="preserve"> Lokasi Pekerjaan</v>
          </cell>
        </row>
        <row r="42">
          <cell r="A42">
            <v>3</v>
          </cell>
          <cell r="C42" t="str">
            <v>Agregat Kasar untuk Base</v>
          </cell>
          <cell r="D42" t="str">
            <v>M03</v>
          </cell>
          <cell r="E42" t="str">
            <v>M3</v>
          </cell>
          <cell r="F42">
            <v>0</v>
          </cell>
        </row>
        <row r="43">
          <cell r="C43" t="str">
            <v>Agregat Kasar untuk Lapen / Cor</v>
          </cell>
          <cell r="D43" t="str">
            <v>M03a</v>
          </cell>
          <cell r="E43" t="str">
            <v>M3</v>
          </cell>
          <cell r="F43">
            <v>120100</v>
          </cell>
          <cell r="G43" t="str">
            <v xml:space="preserve"> Lokasi Pekerjaan</v>
          </cell>
        </row>
        <row r="44">
          <cell r="A44">
            <v>4</v>
          </cell>
          <cell r="C44" t="str">
            <v>Agregat Halus untuk Base</v>
          </cell>
          <cell r="D44" t="str">
            <v>M04</v>
          </cell>
          <cell r="E44" t="str">
            <v>M3</v>
          </cell>
          <cell r="F44">
            <v>0</v>
          </cell>
        </row>
        <row r="45">
          <cell r="C45" t="str">
            <v xml:space="preserve">Agregat Halus untuk Lapen </v>
          </cell>
          <cell r="D45" t="str">
            <v>M04a</v>
          </cell>
          <cell r="E45" t="str">
            <v>M3</v>
          </cell>
          <cell r="F45">
            <v>115100</v>
          </cell>
          <cell r="G45" t="str">
            <v xml:space="preserve"> Lokasi Pekerjaan</v>
          </cell>
        </row>
        <row r="46">
          <cell r="A46">
            <v>5</v>
          </cell>
          <cell r="C46" t="str">
            <v>F i l l e r</v>
          </cell>
          <cell r="D46" t="str">
            <v>M05</v>
          </cell>
          <cell r="E46" t="str">
            <v>Kg</v>
          </cell>
          <cell r="F46">
            <v>100</v>
          </cell>
          <cell r="G46" t="str">
            <v xml:space="preserve"> Proses/Base Camp</v>
          </cell>
        </row>
        <row r="47">
          <cell r="A47">
            <v>6</v>
          </cell>
          <cell r="C47" t="str">
            <v xml:space="preserve">Batu Belah </v>
          </cell>
          <cell r="D47" t="str">
            <v>M06</v>
          </cell>
          <cell r="E47" t="str">
            <v>M3</v>
          </cell>
          <cell r="F47">
            <v>54300</v>
          </cell>
          <cell r="G47" t="str">
            <v xml:space="preserve"> Lokasi Pekerjaan</v>
          </cell>
        </row>
        <row r="48">
          <cell r="C48" t="str">
            <v>Batu Belah 10/15</v>
          </cell>
          <cell r="D48" t="str">
            <v>M06.a</v>
          </cell>
          <cell r="E48" t="str">
            <v>M3</v>
          </cell>
          <cell r="F48">
            <v>74300</v>
          </cell>
          <cell r="G48" t="str">
            <v xml:space="preserve"> Lokasi Pekerjaan</v>
          </cell>
        </row>
        <row r="49">
          <cell r="C49" t="str">
            <v>Batu Belah  5/7</v>
          </cell>
          <cell r="D49" t="str">
            <v>M06.b</v>
          </cell>
          <cell r="E49" t="str">
            <v>M3</v>
          </cell>
          <cell r="F49">
            <v>79300</v>
          </cell>
          <cell r="G49" t="str">
            <v xml:space="preserve"> Lokasi Pekerjaan</v>
          </cell>
        </row>
        <row r="50">
          <cell r="A50">
            <v>7</v>
          </cell>
          <cell r="C50" t="str">
            <v>G r a v e l</v>
          </cell>
          <cell r="D50" t="str">
            <v>M07</v>
          </cell>
          <cell r="E50" t="str">
            <v>M3</v>
          </cell>
          <cell r="F50">
            <v>0</v>
          </cell>
        </row>
        <row r="51">
          <cell r="A51">
            <v>8</v>
          </cell>
          <cell r="C51" t="str">
            <v>Material Tanah Timbunan</v>
          </cell>
          <cell r="D51" t="str">
            <v>M08</v>
          </cell>
          <cell r="E51" t="str">
            <v>M3</v>
          </cell>
          <cell r="F51">
            <v>5000</v>
          </cell>
          <cell r="G51" t="str">
            <v xml:space="preserve"> Borrow Pit</v>
          </cell>
        </row>
        <row r="52">
          <cell r="A52">
            <v>9</v>
          </cell>
          <cell r="C52" t="str">
            <v>Material Pilihan</v>
          </cell>
          <cell r="D52" t="str">
            <v>M09</v>
          </cell>
          <cell r="E52" t="str">
            <v>M3</v>
          </cell>
          <cell r="F52">
            <v>10000</v>
          </cell>
          <cell r="G52" t="str">
            <v xml:space="preserve"> Quarry</v>
          </cell>
        </row>
        <row r="53">
          <cell r="A53">
            <v>10</v>
          </cell>
          <cell r="C53" t="str">
            <v>Aspal Cement</v>
          </cell>
          <cell r="D53" t="str">
            <v>M10</v>
          </cell>
          <cell r="E53" t="str">
            <v>KG</v>
          </cell>
          <cell r="F53">
            <v>3500</v>
          </cell>
          <cell r="G53" t="str">
            <v xml:space="preserve"> Base Camp</v>
          </cell>
        </row>
        <row r="54">
          <cell r="A54">
            <v>11</v>
          </cell>
          <cell r="C54" t="str">
            <v>Kerosen / Minyak Tanah</v>
          </cell>
          <cell r="D54" t="str">
            <v>M11</v>
          </cell>
          <cell r="E54" t="str">
            <v>LITER</v>
          </cell>
          <cell r="F54">
            <v>1500</v>
          </cell>
          <cell r="G54" t="str">
            <v xml:space="preserve"> Base Camp</v>
          </cell>
        </row>
        <row r="55">
          <cell r="A55">
            <v>12</v>
          </cell>
          <cell r="C55" t="str">
            <v>Semen / PC  (50kg)</v>
          </cell>
          <cell r="D55" t="str">
            <v>M12</v>
          </cell>
          <cell r="E55" t="str">
            <v>Zak</v>
          </cell>
          <cell r="F55">
            <v>30000</v>
          </cell>
          <cell r="G55" t="str">
            <v xml:space="preserve"> Base Camp</v>
          </cell>
        </row>
        <row r="56">
          <cell r="D56" t="str">
            <v>M12</v>
          </cell>
          <cell r="E56" t="str">
            <v>Kg</v>
          </cell>
          <cell r="F56">
            <v>600</v>
          </cell>
          <cell r="G56" t="str">
            <v xml:space="preserve"> Base Camp</v>
          </cell>
        </row>
        <row r="57">
          <cell r="A57">
            <v>13</v>
          </cell>
          <cell r="C57" t="str">
            <v>Besi Beton</v>
          </cell>
          <cell r="D57" t="str">
            <v>M13</v>
          </cell>
          <cell r="E57" t="str">
            <v>Kg</v>
          </cell>
          <cell r="F57">
            <v>0</v>
          </cell>
        </row>
        <row r="58">
          <cell r="A58">
            <v>14</v>
          </cell>
          <cell r="C58" t="str">
            <v>Kawat Beton</v>
          </cell>
          <cell r="D58" t="str">
            <v>M14</v>
          </cell>
          <cell r="E58" t="str">
            <v>Kg</v>
          </cell>
          <cell r="F58">
            <v>6250</v>
          </cell>
          <cell r="G58" t="str">
            <v xml:space="preserve"> Lokasi Pekerjaan</v>
          </cell>
        </row>
        <row r="59">
          <cell r="A59">
            <v>15</v>
          </cell>
          <cell r="C59" t="str">
            <v>Kawat Bronjong</v>
          </cell>
          <cell r="D59" t="str">
            <v>M15</v>
          </cell>
          <cell r="E59" t="str">
            <v>Kg</v>
          </cell>
          <cell r="F59">
            <v>0</v>
          </cell>
        </row>
        <row r="60">
          <cell r="A60">
            <v>16</v>
          </cell>
          <cell r="C60" t="str">
            <v>S i r t u / Krakal</v>
          </cell>
          <cell r="D60" t="str">
            <v>M16</v>
          </cell>
          <cell r="E60" t="str">
            <v>M3</v>
          </cell>
          <cell r="F60">
            <v>2800</v>
          </cell>
          <cell r="G60" t="str">
            <v xml:space="preserve"> Lokasi Pekerjaan</v>
          </cell>
        </row>
        <row r="61">
          <cell r="A61">
            <v>17</v>
          </cell>
          <cell r="C61" t="str">
            <v>Cat Marka (Non Thermoplas)</v>
          </cell>
          <cell r="D61" t="str">
            <v>M17</v>
          </cell>
          <cell r="E61" t="str">
            <v>Kg</v>
          </cell>
          <cell r="F61">
            <v>75000</v>
          </cell>
          <cell r="G61" t="str">
            <v xml:space="preserve"> Lokasi Pekerjaan</v>
          </cell>
        </row>
        <row r="62">
          <cell r="C62" t="str">
            <v>Cat Marka (Thermoplastic)</v>
          </cell>
          <cell r="D62" t="str">
            <v>M17</v>
          </cell>
          <cell r="E62" t="str">
            <v>Kg</v>
          </cell>
          <cell r="F62">
            <v>0</v>
          </cell>
        </row>
        <row r="63">
          <cell r="A63">
            <v>18</v>
          </cell>
          <cell r="C63" t="str">
            <v>P a k u</v>
          </cell>
          <cell r="D63" t="str">
            <v>M18</v>
          </cell>
          <cell r="E63" t="str">
            <v>Kg</v>
          </cell>
          <cell r="F63">
            <v>5500</v>
          </cell>
          <cell r="G63" t="str">
            <v xml:space="preserve"> Lokasi Pekerjaan</v>
          </cell>
        </row>
        <row r="64">
          <cell r="A64">
            <v>19</v>
          </cell>
          <cell r="C64" t="str">
            <v>Kayu Perancah</v>
          </cell>
          <cell r="D64" t="str">
            <v>M19</v>
          </cell>
          <cell r="E64" t="str">
            <v>M3</v>
          </cell>
          <cell r="F64">
            <v>800000</v>
          </cell>
          <cell r="G64" t="str">
            <v xml:space="preserve"> Lokasi Pekerjaan</v>
          </cell>
        </row>
        <row r="65">
          <cell r="A65">
            <v>20</v>
          </cell>
          <cell r="C65" t="str">
            <v>B e n s i n</v>
          </cell>
          <cell r="D65" t="str">
            <v>M20</v>
          </cell>
          <cell r="E65" t="str">
            <v>LITER</v>
          </cell>
          <cell r="F65">
            <v>1825</v>
          </cell>
          <cell r="G65" t="str">
            <v>Base Camp.</v>
          </cell>
        </row>
        <row r="66">
          <cell r="A66">
            <v>21</v>
          </cell>
          <cell r="C66" t="str">
            <v>S o l a r</v>
          </cell>
          <cell r="D66" t="str">
            <v>M21</v>
          </cell>
          <cell r="E66" t="str">
            <v>LITER</v>
          </cell>
          <cell r="F66">
            <v>1700</v>
          </cell>
          <cell r="G66" t="str">
            <v>Base Camp.</v>
          </cell>
        </row>
        <row r="67">
          <cell r="A67">
            <v>22</v>
          </cell>
          <cell r="C67" t="str">
            <v>Minyak Pelumas / Olie</v>
          </cell>
          <cell r="D67" t="str">
            <v>M22</v>
          </cell>
          <cell r="E67" t="str">
            <v>LITER</v>
          </cell>
          <cell r="F67">
            <v>17500</v>
          </cell>
          <cell r="G67" t="str">
            <v>Base Camp.</v>
          </cell>
        </row>
        <row r="68">
          <cell r="A68">
            <v>23</v>
          </cell>
          <cell r="C68" t="str">
            <v>Plastik Filter</v>
          </cell>
          <cell r="D68" t="str">
            <v>M23</v>
          </cell>
          <cell r="E68" t="str">
            <v>M2</v>
          </cell>
          <cell r="F68">
            <v>0</v>
          </cell>
        </row>
        <row r="69">
          <cell r="A69">
            <v>24</v>
          </cell>
          <cell r="C69" t="str">
            <v>Pipa Galvanis Dia. 3"</v>
          </cell>
          <cell r="D69" t="str">
            <v>M24</v>
          </cell>
          <cell r="E69" t="str">
            <v>Batang</v>
          </cell>
          <cell r="F69">
            <v>300000</v>
          </cell>
          <cell r="G69" t="str">
            <v>Base Camp.</v>
          </cell>
        </row>
        <row r="70">
          <cell r="C70" t="str">
            <v>Pipa Galvanis Dia. 3"</v>
          </cell>
          <cell r="D70" t="str">
            <v>M24</v>
          </cell>
          <cell r="E70" t="str">
            <v>M'</v>
          </cell>
          <cell r="F70">
            <v>50000</v>
          </cell>
          <cell r="G70" t="str">
            <v>Base Camp.</v>
          </cell>
        </row>
        <row r="71">
          <cell r="A71">
            <v>25</v>
          </cell>
          <cell r="C71" t="str">
            <v>Gebalan Rumput</v>
          </cell>
          <cell r="D71" t="str">
            <v>M32</v>
          </cell>
          <cell r="E71" t="str">
            <v>M2</v>
          </cell>
          <cell r="F71">
            <v>0</v>
          </cell>
          <cell r="G71" t="str">
            <v xml:space="preserve"> Lokasi Pekerjaan</v>
          </cell>
        </row>
        <row r="72">
          <cell r="A72">
            <v>26</v>
          </cell>
          <cell r="C72" t="str">
            <v>Pelat Rambu (Eng. Grade)</v>
          </cell>
          <cell r="D72" t="str">
            <v>M35</v>
          </cell>
          <cell r="E72" t="str">
            <v>BH</v>
          </cell>
          <cell r="F72">
            <v>0</v>
          </cell>
          <cell r="G72" t="str">
            <v xml:space="preserve"> Base Camp</v>
          </cell>
        </row>
        <row r="73">
          <cell r="C73" t="str">
            <v>Pelat Rambu (High I. Grade)</v>
          </cell>
          <cell r="D73" t="str">
            <v>M35</v>
          </cell>
          <cell r="E73" t="str">
            <v>BH</v>
          </cell>
          <cell r="F73">
            <v>0</v>
          </cell>
        </row>
        <row r="74">
          <cell r="A74">
            <v>27</v>
          </cell>
          <cell r="C74" t="str">
            <v>Rel Pengaman</v>
          </cell>
          <cell r="D74" t="str">
            <v>M36</v>
          </cell>
          <cell r="E74" t="str">
            <v>M'</v>
          </cell>
          <cell r="F74">
            <v>0</v>
          </cell>
        </row>
        <row r="75">
          <cell r="A75">
            <v>28</v>
          </cell>
          <cell r="C75" t="str">
            <v>Beton K-250</v>
          </cell>
          <cell r="D75" t="str">
            <v>M37</v>
          </cell>
          <cell r="E75" t="str">
            <v>M3</v>
          </cell>
          <cell r="F75">
            <v>460243.23</v>
          </cell>
          <cell r="G75" t="str">
            <v xml:space="preserve"> Lokasi Pekerjaan</v>
          </cell>
        </row>
        <row r="76">
          <cell r="A76">
            <v>29</v>
          </cell>
          <cell r="C76" t="str">
            <v>Beton K-175</v>
          </cell>
          <cell r="D76" t="str">
            <v>M38</v>
          </cell>
          <cell r="E76" t="str">
            <v>M3</v>
          </cell>
          <cell r="F76">
            <v>0</v>
          </cell>
          <cell r="G76" t="str">
            <v xml:space="preserve"> Lokasi Pekerjaan</v>
          </cell>
        </row>
        <row r="77">
          <cell r="A77">
            <v>30</v>
          </cell>
          <cell r="C77" t="str">
            <v>Baja Tulangan (Polos)</v>
          </cell>
          <cell r="D77" t="str">
            <v>M39a</v>
          </cell>
          <cell r="E77" t="str">
            <v>Kg</v>
          </cell>
          <cell r="F77">
            <v>5800</v>
          </cell>
          <cell r="G77" t="str">
            <v xml:space="preserve"> Lokasi Pekerjaan</v>
          </cell>
        </row>
        <row r="78">
          <cell r="C78" t="str">
            <v>Baja Tulangan (Ulir)</v>
          </cell>
          <cell r="D78" t="str">
            <v>M39b</v>
          </cell>
          <cell r="E78" t="str">
            <v>Kg</v>
          </cell>
          <cell r="F78">
            <v>0</v>
          </cell>
          <cell r="G78" t="str">
            <v xml:space="preserve"> Base Camp</v>
          </cell>
        </row>
        <row r="79">
          <cell r="A79">
            <v>31</v>
          </cell>
          <cell r="C79" t="str">
            <v>Pasir Urug</v>
          </cell>
          <cell r="D79" t="str">
            <v>M44</v>
          </cell>
          <cell r="E79" t="str">
            <v>M3</v>
          </cell>
          <cell r="F79">
            <v>46000</v>
          </cell>
          <cell r="G79" t="str">
            <v xml:space="preserve"> Lokasi Pekerjaan</v>
          </cell>
        </row>
        <row r="80">
          <cell r="A80">
            <v>32</v>
          </cell>
          <cell r="C80" t="str">
            <v>Beton K-125</v>
          </cell>
          <cell r="D80" t="str">
            <v>M47</v>
          </cell>
          <cell r="E80" t="str">
            <v>M3</v>
          </cell>
          <cell r="F80">
            <v>0</v>
          </cell>
          <cell r="G80" t="str">
            <v xml:space="preserve"> Lokasi Pekerjaan</v>
          </cell>
        </row>
        <row r="81">
          <cell r="A81">
            <v>33</v>
          </cell>
          <cell r="C81" t="str">
            <v>Beton K - 300</v>
          </cell>
          <cell r="D81" t="str">
            <v>M49</v>
          </cell>
          <cell r="E81" t="str">
            <v>M'</v>
          </cell>
          <cell r="F81">
            <v>0</v>
          </cell>
          <cell r="G81" t="str">
            <v xml:space="preserve"> Lokasi Pekerjaan</v>
          </cell>
        </row>
        <row r="82">
          <cell r="A82">
            <v>34</v>
          </cell>
          <cell r="C82" t="str">
            <v>T. Pancang Beton Pratekan dia.40 cm</v>
          </cell>
          <cell r="D82" t="str">
            <v>M50</v>
          </cell>
          <cell r="E82" t="str">
            <v>M'</v>
          </cell>
          <cell r="F82">
            <v>300000</v>
          </cell>
          <cell r="G82" t="str">
            <v xml:space="preserve"> Lokasi Pekerjaan</v>
          </cell>
        </row>
        <row r="83">
          <cell r="A83">
            <v>35</v>
          </cell>
          <cell r="C83" t="str">
            <v>Asbuton</v>
          </cell>
          <cell r="D83" t="str">
            <v>M54</v>
          </cell>
          <cell r="E83" t="str">
            <v>Kg</v>
          </cell>
          <cell r="F83">
            <v>0</v>
          </cell>
        </row>
      </sheetData>
      <sheetData sheetId="7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2.1</v>
          </cell>
          <cell r="J1" t="str">
            <v xml:space="preserve">Analisa EI-21 </v>
          </cell>
          <cell r="T1" t="str">
            <v xml:space="preserve">Analisa EI-21 </v>
          </cell>
          <cell r="AE1" t="str">
            <v>DAFTAR BIAYA SEWA PERALATAN PER JAM KERJA</v>
          </cell>
        </row>
        <row r="2">
          <cell r="D2" t="str">
            <v>:  Pek. Galian Untuk Saluran</v>
          </cell>
        </row>
        <row r="3"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  <cell r="AM3" t="str">
            <v>BIAYA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  <cell r="AB4" t="str">
            <v>TOTAL</v>
          </cell>
          <cell r="AE4" t="str">
            <v>No.</v>
          </cell>
          <cell r="AF4" t="str">
            <v>URAIAN</v>
          </cell>
          <cell r="AH4" t="str">
            <v>KO</v>
          </cell>
          <cell r="AI4" t="str">
            <v>HP</v>
          </cell>
          <cell r="AJ4" t="str">
            <v>KAP.</v>
          </cell>
          <cell r="AL4" t="str">
            <v>HARGA</v>
          </cell>
          <cell r="AM4" t="str">
            <v>SEWA</v>
          </cell>
          <cell r="AN4" t="str">
            <v>KET.</v>
          </cell>
        </row>
        <row r="5">
          <cell r="B5" t="str">
            <v>U R A I A N</v>
          </cell>
          <cell r="E5" t="str">
            <v>SATUAN</v>
          </cell>
          <cell r="F5" t="str">
            <v>ALAT</v>
          </cell>
          <cell r="G5" t="str">
            <v>ALAT</v>
          </cell>
          <cell r="H5" t="str">
            <v>KET.</v>
          </cell>
          <cell r="I5" t="str">
            <v>ALAT</v>
          </cell>
          <cell r="K5" t="str">
            <v>JAM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  <cell r="W5" t="str">
            <v>PERBAIKAN &amp; PERAWATAN</v>
          </cell>
          <cell r="Y5" t="str">
            <v>UPAH</v>
          </cell>
          <cell r="AA5" t="str">
            <v>TOTAL</v>
          </cell>
          <cell r="AB5" t="str">
            <v>BIAYA</v>
          </cell>
          <cell r="AH5" t="str">
            <v>DE</v>
          </cell>
          <cell r="AL5" t="str">
            <v>ALAT</v>
          </cell>
          <cell r="AM5" t="str">
            <v>ALAT/JAM</v>
          </cell>
        </row>
        <row r="6">
          <cell r="C6" t="str">
            <v>U R A I A N</v>
          </cell>
          <cell r="F6" t="str">
            <v>(Rp)</v>
          </cell>
          <cell r="G6" t="str">
            <v>( Km )</v>
          </cell>
          <cell r="H6" t="str">
            <v>KOEF.</v>
          </cell>
          <cell r="I6" t="str">
            <v>SATUAN</v>
          </cell>
          <cell r="J6" t="str">
            <v>UMUR</v>
          </cell>
          <cell r="K6" t="str">
            <v>KERJA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  <cell r="Y6" t="str">
            <v>OPERATOR</v>
          </cell>
          <cell r="Z6" t="str">
            <v>PEMBANTU</v>
          </cell>
          <cell r="AA6" t="str">
            <v>BIAYA</v>
          </cell>
          <cell r="AB6" t="str">
            <v>SEWA ALAT</v>
          </cell>
          <cell r="AM6" t="str">
            <v>(di luar PPN)</v>
          </cell>
        </row>
        <row r="7">
          <cell r="J7" t="str">
            <v>ALAT</v>
          </cell>
          <cell r="K7" t="str">
            <v>1 TAHUN</v>
          </cell>
          <cell r="L7" t="str">
            <v>ALAT</v>
          </cell>
          <cell r="N7" t="str">
            <v>MODAL</v>
          </cell>
          <cell r="O7" t="str">
            <v>BALIAN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  <cell r="W7" t="str">
            <v>KOEF.</v>
          </cell>
          <cell r="X7" t="str">
            <v>BIAYA</v>
          </cell>
          <cell r="Y7" t="str">
            <v>/ SOPIR</v>
          </cell>
          <cell r="Z7" t="str">
            <v>OPERATOR</v>
          </cell>
          <cell r="AA7" t="str">
            <v>OPERASI</v>
          </cell>
          <cell r="AB7" t="str">
            <v>PER</v>
          </cell>
        </row>
        <row r="8"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  <cell r="L8" t="str">
            <v>No. PAKET KONTRAK</v>
          </cell>
          <cell r="O8" t="str">
            <v>MODAL</v>
          </cell>
          <cell r="Z8" t="str">
            <v>/ SOPIR</v>
          </cell>
          <cell r="AA8" t="str">
            <v>/ JAM</v>
          </cell>
          <cell r="AB8" t="str">
            <v>JAM KERJA</v>
          </cell>
          <cell r="AE8" t="str">
            <v>1.</v>
          </cell>
          <cell r="AG8" t="str">
            <v>ASPHALT MIXING PLANT</v>
          </cell>
          <cell r="AH8" t="str">
            <v>E01</v>
          </cell>
          <cell r="AI8">
            <v>150</v>
          </cell>
          <cell r="AJ8">
            <v>30</v>
          </cell>
          <cell r="AK8" t="str">
            <v>T/Jam</v>
          </cell>
          <cell r="AL8">
            <v>1500000000</v>
          </cell>
          <cell r="AM8">
            <v>839246.43</v>
          </cell>
          <cell r="AN8" t="str">
            <v xml:space="preserve"> Alat baru</v>
          </cell>
        </row>
        <row r="9"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K9" t="str">
            <v>(Jam)</v>
          </cell>
          <cell r="L9" t="str">
            <v>(Rp.)</v>
          </cell>
          <cell r="M9" t="str">
            <v>(Rp.)</v>
          </cell>
          <cell r="N9" t="str">
            <v>-</v>
          </cell>
          <cell r="O9" t="str">
            <v>(Rp.)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  <cell r="W9" t="str">
            <v>-</v>
          </cell>
          <cell r="X9" t="str">
            <v>(Rp.)</v>
          </cell>
          <cell r="Y9" t="str">
            <v>(Rp.)</v>
          </cell>
          <cell r="Z9" t="str">
            <v>(Rp.)</v>
          </cell>
          <cell r="AA9" t="str">
            <v>(Rp.)</v>
          </cell>
          <cell r="AB9" t="str">
            <v>(Rp.)</v>
          </cell>
          <cell r="AC9" t="str">
            <v>KET.</v>
          </cell>
          <cell r="AE9" t="str">
            <v>2.</v>
          </cell>
          <cell r="AG9" t="str">
            <v>ASPHALT FINISHER</v>
          </cell>
          <cell r="AH9" t="str">
            <v>E02</v>
          </cell>
          <cell r="AI9">
            <v>47</v>
          </cell>
          <cell r="AJ9">
            <v>6</v>
          </cell>
          <cell r="AK9" t="str">
            <v>Ton</v>
          </cell>
          <cell r="AL9">
            <v>750000000</v>
          </cell>
          <cell r="AM9">
            <v>173395.18</v>
          </cell>
          <cell r="AN9" t="str">
            <v xml:space="preserve"> Alat baru</v>
          </cell>
        </row>
        <row r="10">
          <cell r="B10" t="str">
            <v>No.</v>
          </cell>
          <cell r="C10" t="str">
            <v>JENIS PERALATAN</v>
          </cell>
          <cell r="E10" t="str">
            <v>KODE</v>
          </cell>
          <cell r="F10">
            <v>25000</v>
          </cell>
          <cell r="G10">
            <v>25</v>
          </cell>
          <cell r="H10" t="str">
            <v xml:space="preserve"> Ke Lokasi Pek.</v>
          </cell>
          <cell r="L10" t="str">
            <v>KABUPATEN</v>
          </cell>
          <cell r="O10" t="str">
            <v>:  Lampung Timur</v>
          </cell>
          <cell r="T10" t="str">
            <v>f1 x HP x</v>
          </cell>
          <cell r="Y10" t="str">
            <v>1 Orang</v>
          </cell>
          <cell r="Z10" t="str">
            <v>1 Orang</v>
          </cell>
          <cell r="AE10" t="str">
            <v>3.</v>
          </cell>
          <cell r="AG10" t="str">
            <v>ASPHALT SPRAYER</v>
          </cell>
          <cell r="AH10" t="str">
            <v>E03</v>
          </cell>
          <cell r="AI10">
            <v>15</v>
          </cell>
          <cell r="AJ10">
            <v>800</v>
          </cell>
          <cell r="AK10" t="str">
            <v>Liter</v>
          </cell>
          <cell r="AL10">
            <v>60000000</v>
          </cell>
          <cell r="AM10">
            <v>24722.73</v>
          </cell>
          <cell r="AN10" t="str">
            <v xml:space="preserve"> Alat baru</v>
          </cell>
        </row>
        <row r="11">
          <cell r="C11" t="str">
            <v>Lokasi pekerjaan : 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(B - C) x D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  <cell r="W11" t="str">
            <v>0.125</v>
          </cell>
          <cell r="X11" t="str">
            <v>(g1 x B')</v>
          </cell>
          <cell r="Y11" t="str">
            <v>Per</v>
          </cell>
          <cell r="Z11" t="str">
            <v>Per</v>
          </cell>
          <cell r="AE11" t="str">
            <v>4.</v>
          </cell>
          <cell r="AG11" t="str">
            <v>BULLDOZER 100-150 HP</v>
          </cell>
          <cell r="AH11" t="str">
            <v>E04</v>
          </cell>
          <cell r="AI11">
            <v>140</v>
          </cell>
          <cell r="AJ11" t="str">
            <v xml:space="preserve">          -</v>
          </cell>
          <cell r="AK11" t="str">
            <v/>
          </cell>
          <cell r="AL11">
            <v>550000000</v>
          </cell>
          <cell r="AM11">
            <v>178010.43</v>
          </cell>
          <cell r="AN11" t="str">
            <v xml:space="preserve"> Alat baru</v>
          </cell>
        </row>
        <row r="12">
          <cell r="C12" t="str">
            <v>M03  -  Agregate Kasar , untuk  Base.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-----------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  <cell r="W12" t="str">
            <v>s / d</v>
          </cell>
          <cell r="X12" t="str">
            <v>-----------</v>
          </cell>
          <cell r="Y12" t="str">
            <v>Jam Kerja</v>
          </cell>
          <cell r="Z12" t="str">
            <v>Jam Kerja</v>
          </cell>
          <cell r="AA12" t="str">
            <v>F+G+H+I</v>
          </cell>
          <cell r="AB12" t="str">
            <v>E + J</v>
          </cell>
          <cell r="AE12" t="str">
            <v>5.</v>
          </cell>
          <cell r="AG12" t="str">
            <v>COMPRESSOR 4000-6500 L\M</v>
          </cell>
          <cell r="AH12" t="str">
            <v>E05</v>
          </cell>
          <cell r="AI12">
            <v>80</v>
          </cell>
          <cell r="AJ12" t="str">
            <v xml:space="preserve">          -</v>
          </cell>
          <cell r="AK12" t="str">
            <v/>
          </cell>
          <cell r="AL12">
            <v>50000000</v>
          </cell>
          <cell r="AM12">
            <v>47770.43</v>
          </cell>
          <cell r="AN12" t="str">
            <v xml:space="preserve"> Alat baru</v>
          </cell>
        </row>
        <row r="13"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W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  <cell r="W13" t="str">
            <v>0.175</v>
          </cell>
          <cell r="X13" t="str">
            <v>W</v>
          </cell>
          <cell r="Y13" t="str">
            <v>=</v>
          </cell>
          <cell r="Z13" t="str">
            <v>=</v>
          </cell>
          <cell r="AE13" t="str">
            <v>6.</v>
          </cell>
          <cell r="AG13" t="str">
            <v>CONCRETE MIXER 0.3-0.6 M3</v>
          </cell>
          <cell r="AH13" t="str">
            <v>E06</v>
          </cell>
          <cell r="AI13">
            <v>15</v>
          </cell>
          <cell r="AJ13">
            <v>500</v>
          </cell>
          <cell r="AK13" t="str">
            <v>Liter</v>
          </cell>
          <cell r="AL13">
            <v>30000000</v>
          </cell>
          <cell r="AM13">
            <v>19003.98</v>
          </cell>
          <cell r="AN13" t="str">
            <v xml:space="preserve"> Alat baru</v>
          </cell>
        </row>
        <row r="14">
          <cell r="C14" t="str">
            <v>M03a.- Agregate Kasar untuk Lapen / Cor</v>
          </cell>
          <cell r="E14" t="str">
            <v>M3</v>
          </cell>
          <cell r="F14">
            <v>65000</v>
          </cell>
          <cell r="G14">
            <v>50</v>
          </cell>
          <cell r="H14" t="str">
            <v xml:space="preserve"> Ke Lokasi Pek.</v>
          </cell>
          <cell r="I14" t="str">
            <v>-</v>
          </cell>
          <cell r="T14" t="str">
            <v>Harga Olie</v>
          </cell>
          <cell r="Y14">
            <v>3571.43</v>
          </cell>
          <cell r="Z14">
            <v>2500</v>
          </cell>
          <cell r="AE14" t="str">
            <v>7.</v>
          </cell>
          <cell r="AG14" t="str">
            <v>CRANE 10-15 TON</v>
          </cell>
          <cell r="AH14" t="str">
            <v>E07</v>
          </cell>
          <cell r="AI14">
            <v>150</v>
          </cell>
          <cell r="AJ14">
            <v>15</v>
          </cell>
          <cell r="AK14" t="str">
            <v>Ton</v>
          </cell>
          <cell r="AL14">
            <v>350000000</v>
          </cell>
          <cell r="AM14">
            <v>139089.43</v>
          </cell>
          <cell r="AN14" t="str">
            <v xml:space="preserve"> Alat baru</v>
          </cell>
        </row>
        <row r="15">
          <cell r="C15" t="str">
            <v>Faktor kembang material (Padat-Lepas)</v>
          </cell>
          <cell r="F15" t="str">
            <v>HP</v>
          </cell>
          <cell r="G15" t="str">
            <v>Cp</v>
          </cell>
          <cell r="H15">
            <v>1.6667000000000001</v>
          </cell>
          <cell r="I15" t="str">
            <v>B</v>
          </cell>
          <cell r="J15" t="str">
            <v>A</v>
          </cell>
          <cell r="K15" t="str">
            <v>W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  <cell r="W15" t="str">
            <v>g1</v>
          </cell>
          <cell r="X15" t="str">
            <v>G</v>
          </cell>
          <cell r="Y15" t="str">
            <v>H</v>
          </cell>
          <cell r="Z15" t="str">
            <v>I</v>
          </cell>
          <cell r="AA15" t="str">
            <v>J</v>
          </cell>
          <cell r="AB15" t="str">
            <v>K</v>
          </cell>
          <cell r="AC15" t="str">
            <v>L</v>
          </cell>
          <cell r="AE15" t="str">
            <v>8.</v>
          </cell>
          <cell r="AG15" t="str">
            <v>DUMP TRUCK 3-4 M3</v>
          </cell>
          <cell r="AH15" t="str">
            <v>E08</v>
          </cell>
          <cell r="AI15">
            <v>100</v>
          </cell>
          <cell r="AJ15">
            <v>6</v>
          </cell>
          <cell r="AK15" t="str">
            <v>Ton</v>
          </cell>
          <cell r="AL15">
            <v>175000000</v>
          </cell>
          <cell r="AM15">
            <v>82267.929999999993</v>
          </cell>
          <cell r="AN15" t="str">
            <v xml:space="preserve"> Alat baru</v>
          </cell>
        </row>
        <row r="16">
          <cell r="B16" t="str">
            <v>1</v>
          </cell>
          <cell r="C16" t="str">
            <v>2</v>
          </cell>
          <cell r="E16" t="str">
            <v>2a</v>
          </cell>
          <cell r="F16" t="str">
            <v>3</v>
          </cell>
          <cell r="G16" t="str">
            <v>4</v>
          </cell>
          <cell r="H16" t="str">
            <v xml:space="preserve"> Ke Base Camp.</v>
          </cell>
          <cell r="I16" t="str">
            <v>5</v>
          </cell>
          <cell r="J16" t="str">
            <v>6</v>
          </cell>
          <cell r="K16" t="str">
            <v>7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13</v>
          </cell>
          <cell r="R16" t="str">
            <v>14</v>
          </cell>
          <cell r="S16" t="str">
            <v>15</v>
          </cell>
          <cell r="T16" t="str">
            <v>16</v>
          </cell>
          <cell r="U16" t="str">
            <v>17</v>
          </cell>
          <cell r="V16" t="str">
            <v>18</v>
          </cell>
          <cell r="W16" t="str">
            <v>17</v>
          </cell>
          <cell r="X16" t="str">
            <v>18</v>
          </cell>
          <cell r="Y16" t="str">
            <v>19</v>
          </cell>
          <cell r="Z16" t="str">
            <v>20</v>
          </cell>
          <cell r="AA16" t="str">
            <v>21</v>
          </cell>
          <cell r="AB16" t="str">
            <v>22</v>
          </cell>
          <cell r="AC16" t="str">
            <v>23</v>
          </cell>
          <cell r="AE16" t="str">
            <v>9.</v>
          </cell>
          <cell r="AG16" t="str">
            <v>DUMP TRUCK</v>
          </cell>
          <cell r="AH16" t="str">
            <v>E09</v>
          </cell>
          <cell r="AI16">
            <v>125</v>
          </cell>
          <cell r="AJ16">
            <v>8</v>
          </cell>
          <cell r="AK16" t="str">
            <v>Ton</v>
          </cell>
          <cell r="AL16">
            <v>225000000</v>
          </cell>
          <cell r="AM16">
            <v>102654.43</v>
          </cell>
          <cell r="AN16" t="str">
            <v xml:space="preserve"> Alat baru</v>
          </cell>
        </row>
        <row r="17">
          <cell r="C17" t="str">
            <v>Penggalian dilakukan dengan menggunakan Excavator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SATUAN</v>
          </cell>
          <cell r="S17" t="str">
            <v>HARGA</v>
          </cell>
          <cell r="AE17" t="str">
            <v>10.</v>
          </cell>
          <cell r="AG17" t="str">
            <v>EXCAVATOR 80-140 HP</v>
          </cell>
          <cell r="AH17" t="str">
            <v>E10</v>
          </cell>
          <cell r="AI17">
            <v>80</v>
          </cell>
          <cell r="AJ17">
            <v>0.5</v>
          </cell>
          <cell r="AK17" t="str">
            <v>M3</v>
          </cell>
          <cell r="AL17">
            <v>1000000000</v>
          </cell>
          <cell r="AM17">
            <v>251051.43</v>
          </cell>
          <cell r="AN17" t="str">
            <v xml:space="preserve"> Alat baru</v>
          </cell>
        </row>
        <row r="18">
          <cell r="B18" t="str">
            <v>1.</v>
          </cell>
          <cell r="C18" t="str">
            <v xml:space="preserve">M04a.- Agregate Halus untuk Lapen </v>
          </cell>
          <cell r="D18" t="str">
            <v>ASPHALT MIXING PLANT</v>
          </cell>
          <cell r="E18" t="str">
            <v>E01</v>
          </cell>
          <cell r="F18">
            <v>150</v>
          </cell>
          <cell r="G18">
            <v>30</v>
          </cell>
          <cell r="H18" t="str">
            <v>T/Jam</v>
          </cell>
          <cell r="I18">
            <v>1500000000</v>
          </cell>
          <cell r="J18">
            <v>10</v>
          </cell>
          <cell r="K18">
            <v>1500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>
            <v>0.125</v>
          </cell>
          <cell r="S18">
            <v>0.01</v>
          </cell>
          <cell r="T18">
            <v>486525</v>
          </cell>
          <cell r="U18">
            <v>0</v>
          </cell>
          <cell r="V18">
            <v>0</v>
          </cell>
          <cell r="W18">
            <v>0.125</v>
          </cell>
          <cell r="X18">
            <v>125000</v>
          </cell>
          <cell r="Y18">
            <v>3571.43</v>
          </cell>
          <cell r="Z18">
            <v>7500</v>
          </cell>
          <cell r="AA18">
            <v>622596.43000000005</v>
          </cell>
          <cell r="AB18">
            <v>839246.43</v>
          </cell>
          <cell r="AC18" t="str">
            <v xml:space="preserve"> Alat baru</v>
          </cell>
          <cell r="AE18" t="str">
            <v>11.</v>
          </cell>
          <cell r="AG18" t="str">
            <v>FLAT BED TRUCK 3-4 M3</v>
          </cell>
          <cell r="AH18" t="str">
            <v>E11</v>
          </cell>
          <cell r="AI18">
            <v>100</v>
          </cell>
          <cell r="AJ18">
            <v>4</v>
          </cell>
          <cell r="AK18" t="str">
            <v>M3</v>
          </cell>
          <cell r="AL18">
            <v>100000000</v>
          </cell>
          <cell r="AM18">
            <v>66219.429999999993</v>
          </cell>
          <cell r="AN18" t="str">
            <v xml:space="preserve"> Alat baru</v>
          </cell>
        </row>
        <row r="19"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  <cell r="I19">
            <v>750000000</v>
          </cell>
          <cell r="J19">
            <v>6</v>
          </cell>
          <cell r="K19">
            <v>2000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  <cell r="W19">
            <v>0.125</v>
          </cell>
          <cell r="X19">
            <v>46875</v>
          </cell>
          <cell r="Y19">
            <v>3571.43</v>
          </cell>
          <cell r="Z19">
            <v>2500</v>
          </cell>
          <cell r="AA19">
            <v>71158.929999999993</v>
          </cell>
          <cell r="AB19">
            <v>173395.18</v>
          </cell>
          <cell r="AC19" t="str">
            <v xml:space="preserve"> Alat baru</v>
          </cell>
          <cell r="AE19" t="str">
            <v>12.</v>
          </cell>
          <cell r="AG19" t="str">
            <v>GENERATOR SET</v>
          </cell>
          <cell r="AH19" t="str">
            <v>E12</v>
          </cell>
          <cell r="AI19">
            <v>175</v>
          </cell>
          <cell r="AJ19">
            <v>125</v>
          </cell>
          <cell r="AK19" t="str">
            <v>KVA</v>
          </cell>
          <cell r="AL19">
            <v>40000000</v>
          </cell>
          <cell r="AM19">
            <v>82443.12999999999</v>
          </cell>
          <cell r="AN19" t="str">
            <v xml:space="preserve"> Alat baru</v>
          </cell>
        </row>
        <row r="20">
          <cell r="B20" t="str">
            <v>3.</v>
          </cell>
          <cell r="C20" t="str">
            <v>M06a - Batu Belah 10/15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K20">
            <v>2000</v>
          </cell>
          <cell r="L20">
            <v>60000000</v>
          </cell>
          <cell r="M20">
            <v>6000000</v>
          </cell>
          <cell r="N20">
            <v>0.33439999999999998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  <cell r="W20">
            <v>0.125</v>
          </cell>
          <cell r="X20">
            <v>3750</v>
          </cell>
          <cell r="Y20">
            <v>3571.43</v>
          </cell>
          <cell r="Z20">
            <v>2500</v>
          </cell>
          <cell r="AA20">
            <v>15633.93</v>
          </cell>
          <cell r="AB20">
            <v>24722.73</v>
          </cell>
          <cell r="AC20" t="str">
            <v xml:space="preserve"> Alat baru</v>
          </cell>
          <cell r="AE20" t="str">
            <v>13.</v>
          </cell>
          <cell r="AG20" t="str">
            <v>MOTOR GRADER &gt;100 HP</v>
          </cell>
          <cell r="AH20" t="str">
            <v>E13</v>
          </cell>
          <cell r="AI20">
            <v>125</v>
          </cell>
          <cell r="AJ20" t="str">
            <v xml:space="preserve">          -</v>
          </cell>
          <cell r="AK20" t="str">
            <v/>
          </cell>
          <cell r="AL20">
            <v>600000000</v>
          </cell>
          <cell r="AM20">
            <v>182896.93</v>
          </cell>
          <cell r="AN20" t="str">
            <v xml:space="preserve"> Alat baru</v>
          </cell>
        </row>
        <row r="21"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 xml:space="preserve">          -</v>
          </cell>
          <cell r="H21" t="str">
            <v/>
          </cell>
          <cell r="I21">
            <v>550000000</v>
          </cell>
          <cell r="J21">
            <v>5</v>
          </cell>
          <cell r="K21">
            <v>2000</v>
          </cell>
          <cell r="L21">
            <v>550000000</v>
          </cell>
          <cell r="M21">
            <v>55000000</v>
          </cell>
          <cell r="N21">
            <v>0.33439999999999998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  <cell r="W21">
            <v>0.125</v>
          </cell>
          <cell r="X21">
            <v>34375</v>
          </cell>
          <cell r="Y21">
            <v>3571.43</v>
          </cell>
          <cell r="Z21">
            <v>2500</v>
          </cell>
          <cell r="AA21">
            <v>94696.43</v>
          </cell>
          <cell r="AB21">
            <v>178010.43</v>
          </cell>
          <cell r="AC21" t="str">
            <v xml:space="preserve"> Alat baru</v>
          </cell>
          <cell r="AE21" t="str">
            <v>14.</v>
          </cell>
          <cell r="AG21" t="str">
            <v>TRACK LOADER 75-100 HP</v>
          </cell>
          <cell r="AH21" t="str">
            <v>E14</v>
          </cell>
          <cell r="AI21">
            <v>90</v>
          </cell>
          <cell r="AJ21">
            <v>1.6</v>
          </cell>
          <cell r="AK21" t="str">
            <v>M3</v>
          </cell>
          <cell r="AL21">
            <v>0</v>
          </cell>
          <cell r="AM21">
            <v>0</v>
          </cell>
          <cell r="AN21">
            <v>0</v>
          </cell>
        </row>
        <row r="22">
          <cell r="B22" t="str">
            <v>5.</v>
          </cell>
          <cell r="C22" t="str">
            <v>M06b - Batu Belah  5/7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 xml:space="preserve">          -</v>
          </cell>
          <cell r="H22" t="str">
            <v/>
          </cell>
          <cell r="I22">
            <v>50000000</v>
          </cell>
          <cell r="J22">
            <v>5</v>
          </cell>
          <cell r="K22">
            <v>2000</v>
          </cell>
          <cell r="L22">
            <v>50000000</v>
          </cell>
          <cell r="M22">
            <v>5000000</v>
          </cell>
          <cell r="N22">
            <v>0.33439999999999998</v>
          </cell>
          <cell r="O22">
            <v>7524</v>
          </cell>
          <cell r="P22">
            <v>50</v>
          </cell>
          <cell r="Q22">
            <v>7574</v>
          </cell>
          <cell r="R22">
            <v>0.125</v>
          </cell>
          <cell r="S22">
            <v>0.01</v>
          </cell>
          <cell r="T22">
            <v>31000</v>
          </cell>
          <cell r="U22">
            <v>0</v>
          </cell>
          <cell r="V22">
            <v>0</v>
          </cell>
          <cell r="W22">
            <v>0.125</v>
          </cell>
          <cell r="X22">
            <v>3125</v>
          </cell>
          <cell r="Y22">
            <v>3571.43</v>
          </cell>
          <cell r="Z22">
            <v>2500</v>
          </cell>
          <cell r="AA22">
            <v>40196.43</v>
          </cell>
          <cell r="AB22">
            <v>47770.43</v>
          </cell>
          <cell r="AC22" t="str">
            <v xml:space="preserve"> Alat baru</v>
          </cell>
          <cell r="AE22" t="str">
            <v>15.</v>
          </cell>
          <cell r="AG22" t="str">
            <v>WHEEL LOADER 1.0-1.6 M3</v>
          </cell>
          <cell r="AH22" t="str">
            <v>E15</v>
          </cell>
          <cell r="AI22">
            <v>105</v>
          </cell>
          <cell r="AJ22">
            <v>1.5</v>
          </cell>
          <cell r="AK22" t="str">
            <v>M3</v>
          </cell>
          <cell r="AL22">
            <v>450000000</v>
          </cell>
          <cell r="AM22">
            <v>143049.93</v>
          </cell>
          <cell r="AN22" t="str">
            <v xml:space="preserve"> Alat baru</v>
          </cell>
        </row>
        <row r="23"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K23">
            <v>2000</v>
          </cell>
          <cell r="L23">
            <v>30000000</v>
          </cell>
          <cell r="M23">
            <v>3000000</v>
          </cell>
          <cell r="N23">
            <v>0.38629999999999998</v>
          </cell>
          <cell r="O23">
            <v>5215.05</v>
          </cell>
          <cell r="P23">
            <v>30</v>
          </cell>
          <cell r="Q23">
            <v>5245.05</v>
          </cell>
          <cell r="R23">
            <v>0.125</v>
          </cell>
          <cell r="S23">
            <v>0.01</v>
          </cell>
          <cell r="T23">
            <v>5812.5</v>
          </cell>
          <cell r="U23">
            <v>0</v>
          </cell>
          <cell r="V23">
            <v>0</v>
          </cell>
          <cell r="W23">
            <v>0.125</v>
          </cell>
          <cell r="X23">
            <v>1875</v>
          </cell>
          <cell r="Y23">
            <v>3571.43</v>
          </cell>
          <cell r="Z23">
            <v>2500</v>
          </cell>
          <cell r="AA23">
            <v>13758.93</v>
          </cell>
          <cell r="AB23">
            <v>19003.98</v>
          </cell>
          <cell r="AC23" t="str">
            <v xml:space="preserve"> Alat baru</v>
          </cell>
          <cell r="AE23" t="str">
            <v>16.</v>
          </cell>
          <cell r="AG23" t="str">
            <v>THREE WHEEL ROLLER 6-8 T</v>
          </cell>
          <cell r="AH23" t="str">
            <v>E16</v>
          </cell>
          <cell r="AI23">
            <v>55</v>
          </cell>
          <cell r="AJ23">
            <v>8</v>
          </cell>
          <cell r="AK23" t="str">
            <v>Ton</v>
          </cell>
          <cell r="AL23">
            <v>200000000</v>
          </cell>
          <cell r="AM23">
            <v>70179.929999999993</v>
          </cell>
          <cell r="AN23" t="str">
            <v xml:space="preserve"> Alat baru</v>
          </cell>
        </row>
        <row r="24">
          <cell r="B24" t="str">
            <v>7.</v>
          </cell>
          <cell r="C24" t="str">
            <v>M16  -  Krakal/Sirtu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K24">
            <v>2000</v>
          </cell>
          <cell r="L24">
            <v>350000000</v>
          </cell>
          <cell r="M24">
            <v>35000000</v>
          </cell>
          <cell r="N24">
            <v>0.33439999999999998</v>
          </cell>
          <cell r="O24">
            <v>52668</v>
          </cell>
          <cell r="P24">
            <v>350</v>
          </cell>
          <cell r="Q24">
            <v>53018</v>
          </cell>
          <cell r="R24">
            <v>0.125</v>
          </cell>
          <cell r="S24">
            <v>0.01</v>
          </cell>
          <cell r="T24">
            <v>58125</v>
          </cell>
          <cell r="U24">
            <v>0</v>
          </cell>
          <cell r="V24">
            <v>0</v>
          </cell>
          <cell r="W24">
            <v>0.125</v>
          </cell>
          <cell r="X24">
            <v>21875</v>
          </cell>
          <cell r="Y24">
            <v>3571.43</v>
          </cell>
          <cell r="Z24">
            <v>2500</v>
          </cell>
          <cell r="AA24">
            <v>86071.43</v>
          </cell>
          <cell r="AB24">
            <v>139089.43</v>
          </cell>
          <cell r="AC24" t="str">
            <v xml:space="preserve"> Alat baru</v>
          </cell>
          <cell r="AE24" t="str">
            <v>17.</v>
          </cell>
          <cell r="AG24" t="str">
            <v>TANDEM ROLLER 6-8 T.</v>
          </cell>
          <cell r="AH24" t="str">
            <v>E17</v>
          </cell>
          <cell r="AI24">
            <v>50</v>
          </cell>
          <cell r="AJ24">
            <v>8</v>
          </cell>
          <cell r="AK24" t="str">
            <v>Ton</v>
          </cell>
          <cell r="AL24">
            <v>200000000</v>
          </cell>
          <cell r="AM24">
            <v>68242.429999999993</v>
          </cell>
          <cell r="AN24" t="str">
            <v xml:space="preserve"> Alat baru</v>
          </cell>
        </row>
        <row r="25"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K25">
            <v>2000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  <cell r="W25">
            <v>0.125</v>
          </cell>
          <cell r="X25">
            <v>10937.5</v>
          </cell>
          <cell r="Y25">
            <v>3571.43</v>
          </cell>
          <cell r="Z25">
            <v>2500</v>
          </cell>
          <cell r="AA25">
            <v>55758.93</v>
          </cell>
          <cell r="AB25">
            <v>82267.929999999993</v>
          </cell>
          <cell r="AC25" t="str">
            <v xml:space="preserve"> Alat baru</v>
          </cell>
          <cell r="AE25" t="str">
            <v>18.</v>
          </cell>
          <cell r="AG25" t="str">
            <v>TIRE ROLLER 8-10 T.</v>
          </cell>
          <cell r="AH25" t="str">
            <v>E18</v>
          </cell>
          <cell r="AI25">
            <v>60</v>
          </cell>
          <cell r="AJ25">
            <v>10</v>
          </cell>
          <cell r="AK25" t="str">
            <v>Ton</v>
          </cell>
          <cell r="AL25">
            <v>225000000</v>
          </cell>
          <cell r="AM25">
            <v>82816.429999999993</v>
          </cell>
          <cell r="AN25" t="str">
            <v xml:space="preserve"> Alat baru</v>
          </cell>
        </row>
        <row r="26">
          <cell r="B26" t="str">
            <v>9.</v>
          </cell>
          <cell r="C26" t="str">
            <v>M44  -  P a s i r urug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K26">
            <v>2000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>
            <v>34083</v>
          </cell>
          <cell r="R26">
            <v>0.125</v>
          </cell>
          <cell r="S26">
            <v>0.01</v>
          </cell>
          <cell r="T26">
            <v>48437.5</v>
          </cell>
          <cell r="U26">
            <v>0</v>
          </cell>
          <cell r="V26">
            <v>0</v>
          </cell>
          <cell r="W26">
            <v>0.125</v>
          </cell>
          <cell r="X26">
            <v>14062.5</v>
          </cell>
          <cell r="Y26">
            <v>3571.43</v>
          </cell>
          <cell r="Z26">
            <v>2500</v>
          </cell>
          <cell r="AA26">
            <v>68571.429999999993</v>
          </cell>
          <cell r="AB26">
            <v>102654.43</v>
          </cell>
          <cell r="AC26" t="str">
            <v xml:space="preserve"> Alat baru</v>
          </cell>
          <cell r="AE26" t="str">
            <v>19.</v>
          </cell>
          <cell r="AG26" t="str">
            <v>VIBRATORY ROLLER 5-8 T.</v>
          </cell>
          <cell r="AH26" t="str">
            <v>E19</v>
          </cell>
          <cell r="AI26">
            <v>75</v>
          </cell>
          <cell r="AJ26">
            <v>7</v>
          </cell>
          <cell r="AK26" t="str">
            <v>Ton</v>
          </cell>
          <cell r="AL26">
            <v>300000000</v>
          </cell>
          <cell r="AM26">
            <v>106334.43</v>
          </cell>
          <cell r="AN26" t="str">
            <v xml:space="preserve"> Alat baru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K27">
            <v>2000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>
            <v>0.125</v>
          </cell>
          <cell r="S27">
            <v>0.01</v>
          </cell>
          <cell r="T27">
            <v>31000</v>
          </cell>
          <cell r="U27">
            <v>0</v>
          </cell>
          <cell r="V27">
            <v>0</v>
          </cell>
          <cell r="W27">
            <v>0.125</v>
          </cell>
          <cell r="X27">
            <v>62500</v>
          </cell>
          <cell r="Y27">
            <v>3571.43</v>
          </cell>
          <cell r="Z27">
            <v>2500</v>
          </cell>
          <cell r="AA27">
            <v>99571.43</v>
          </cell>
          <cell r="AB27">
            <v>251051.43</v>
          </cell>
          <cell r="AC27" t="str">
            <v xml:space="preserve"> Alat baru</v>
          </cell>
          <cell r="AE27" t="str">
            <v>20.</v>
          </cell>
          <cell r="AG27" t="str">
            <v>CONCRETE VIBRATOR</v>
          </cell>
          <cell r="AH27" t="str">
            <v>E20</v>
          </cell>
          <cell r="AI27">
            <v>10</v>
          </cell>
          <cell r="AJ27" t="str">
            <v xml:space="preserve">          -</v>
          </cell>
          <cell r="AK27" t="str">
            <v/>
          </cell>
          <cell r="AL27">
            <v>20000000</v>
          </cell>
          <cell r="AM27">
            <v>19439.830000000002</v>
          </cell>
          <cell r="AN27" t="str">
            <v xml:space="preserve"> Alat baru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K28">
            <v>2000</v>
          </cell>
          <cell r="L28">
            <v>100000000</v>
          </cell>
          <cell r="M28">
            <v>10000000</v>
          </cell>
          <cell r="N28">
            <v>0.33439999999999998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  <cell r="W28">
            <v>0.125</v>
          </cell>
          <cell r="X28">
            <v>6250</v>
          </cell>
          <cell r="Y28">
            <v>3571.43</v>
          </cell>
          <cell r="Z28">
            <v>2500</v>
          </cell>
          <cell r="AA28">
            <v>51071.43</v>
          </cell>
          <cell r="AB28">
            <v>66219.429999999993</v>
          </cell>
          <cell r="AC28" t="str">
            <v xml:space="preserve"> Alat baru</v>
          </cell>
          <cell r="AE28" t="str">
            <v>21.</v>
          </cell>
          <cell r="AG28" t="str">
            <v>STONE CRUSHER</v>
          </cell>
          <cell r="AH28" t="str">
            <v>E21</v>
          </cell>
          <cell r="AI28">
            <v>220</v>
          </cell>
          <cell r="AJ28">
            <v>30</v>
          </cell>
          <cell r="AK28" t="str">
            <v>T/Jam</v>
          </cell>
          <cell r="AL28">
            <v>1400000000</v>
          </cell>
          <cell r="AM28">
            <v>393393.43</v>
          </cell>
          <cell r="AN28" t="str">
            <v xml:space="preserve"> Alat baru</v>
          </cell>
        </row>
        <row r="29"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K29">
            <v>2000</v>
          </cell>
          <cell r="L29">
            <v>40000000</v>
          </cell>
          <cell r="M29">
            <v>4000000</v>
          </cell>
          <cell r="N29">
            <v>0.33439999999999998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  <cell r="W29">
            <v>0.125</v>
          </cell>
          <cell r="X29">
            <v>2500</v>
          </cell>
          <cell r="Y29">
            <v>3571.43</v>
          </cell>
          <cell r="Z29">
            <v>2500</v>
          </cell>
          <cell r="AA29">
            <v>76383.929999999993</v>
          </cell>
          <cell r="AB29">
            <v>82443.12999999999</v>
          </cell>
          <cell r="AC29" t="str">
            <v xml:space="preserve"> Alat baru</v>
          </cell>
          <cell r="AE29" t="str">
            <v>22.</v>
          </cell>
          <cell r="AG29" t="str">
            <v>WATER PUMP 70-100 mm</v>
          </cell>
          <cell r="AH29" t="str">
            <v>E22</v>
          </cell>
          <cell r="AI29">
            <v>6</v>
          </cell>
          <cell r="AJ29" t="str">
            <v xml:space="preserve">          -</v>
          </cell>
          <cell r="AK29" t="str">
            <v/>
          </cell>
          <cell r="AL29">
            <v>10000000</v>
          </cell>
          <cell r="AM29">
            <v>11976.68</v>
          </cell>
          <cell r="AN29" t="str">
            <v xml:space="preserve"> Alat baru</v>
          </cell>
        </row>
        <row r="30"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 xml:space="preserve">          -</v>
          </cell>
          <cell r="H30" t="str">
            <v/>
          </cell>
          <cell r="I30">
            <v>600000000</v>
          </cell>
          <cell r="J30">
            <v>5</v>
          </cell>
          <cell r="K30">
            <v>2000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  <cell r="W30">
            <v>0.125</v>
          </cell>
          <cell r="X30">
            <v>37500</v>
          </cell>
          <cell r="Y30">
            <v>3571.43</v>
          </cell>
          <cell r="Z30">
            <v>2500</v>
          </cell>
          <cell r="AA30">
            <v>92008.93</v>
          </cell>
          <cell r="AB30">
            <v>182896.93</v>
          </cell>
          <cell r="AC30" t="str">
            <v xml:space="preserve"> Alat baru</v>
          </cell>
          <cell r="AE30" t="str">
            <v>23.</v>
          </cell>
          <cell r="AG30" t="str">
            <v>WATER TANKER 3000-4500 L.</v>
          </cell>
          <cell r="AH30" t="str">
            <v>E23</v>
          </cell>
          <cell r="AI30">
            <v>100</v>
          </cell>
          <cell r="AJ30">
            <v>4000</v>
          </cell>
          <cell r="AK30" t="str">
            <v>Liter</v>
          </cell>
          <cell r="AL30">
            <v>175000000</v>
          </cell>
          <cell r="AM30">
            <v>82267.929999999993</v>
          </cell>
          <cell r="AN30" t="str">
            <v xml:space="preserve"> Alat baru</v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>
            <v>1.6</v>
          </cell>
          <cell r="H31" t="str">
            <v>M3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24.</v>
          </cell>
          <cell r="AG31" t="str">
            <v>PEDESTRIAN ROLLER</v>
          </cell>
          <cell r="AH31" t="str">
            <v>E24</v>
          </cell>
          <cell r="AI31">
            <v>11</v>
          </cell>
          <cell r="AJ31">
            <v>0.98</v>
          </cell>
          <cell r="AK31" t="str">
            <v>Ton</v>
          </cell>
          <cell r="AL31">
            <v>75000000</v>
          </cell>
          <cell r="AM31">
            <v>28134.059999999998</v>
          </cell>
          <cell r="AN31" t="str">
            <v xml:space="preserve"> Alat baru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>
            <v>1.5</v>
          </cell>
          <cell r="H32" t="str">
            <v>M3</v>
          </cell>
          <cell r="I32">
            <v>450000000</v>
          </cell>
          <cell r="J32">
            <v>5</v>
          </cell>
          <cell r="K32">
            <v>2000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  <cell r="W32">
            <v>0.125</v>
          </cell>
          <cell r="X32">
            <v>28125</v>
          </cell>
          <cell r="Y32">
            <v>3571.43</v>
          </cell>
          <cell r="Z32">
            <v>2500</v>
          </cell>
          <cell r="AA32">
            <v>74883.929999999993</v>
          </cell>
          <cell r="AB32">
            <v>143049.93</v>
          </cell>
          <cell r="AC32" t="str">
            <v xml:space="preserve"> Alat baru</v>
          </cell>
          <cell r="AE32" t="str">
            <v>25.</v>
          </cell>
          <cell r="AG32" t="str">
            <v>TAMPER</v>
          </cell>
          <cell r="AH32" t="str">
            <v>E25</v>
          </cell>
          <cell r="AI32">
            <v>5</v>
          </cell>
          <cell r="AJ32">
            <v>0.17</v>
          </cell>
          <cell r="AK32" t="str">
            <v>Ton</v>
          </cell>
          <cell r="AL32">
            <v>25000000</v>
          </cell>
          <cell r="AM32">
            <v>19875.68</v>
          </cell>
          <cell r="AN32" t="str">
            <v xml:space="preserve"> Alat baru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>
            <v>8</v>
          </cell>
          <cell r="H33" t="str">
            <v>Ton</v>
          </cell>
          <cell r="I33">
            <v>200000000</v>
          </cell>
          <cell r="J33">
            <v>5</v>
          </cell>
          <cell r="K33">
            <v>2000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  <cell r="W33">
            <v>0.125</v>
          </cell>
          <cell r="X33">
            <v>12500</v>
          </cell>
          <cell r="Y33">
            <v>3571.43</v>
          </cell>
          <cell r="Z33">
            <v>2500</v>
          </cell>
          <cell r="AA33">
            <v>39883.93</v>
          </cell>
          <cell r="AB33">
            <v>70179.929999999993</v>
          </cell>
          <cell r="AC33" t="str">
            <v xml:space="preserve"> Alat baru</v>
          </cell>
          <cell r="AE33" t="str">
            <v>26.</v>
          </cell>
          <cell r="AG33" t="str">
            <v>JACK HAMMER</v>
          </cell>
          <cell r="AH33" t="str">
            <v>E26</v>
          </cell>
          <cell r="AI33">
            <v>3</v>
          </cell>
          <cell r="AJ33" t="str">
            <v xml:space="preserve">          -</v>
          </cell>
          <cell r="AK33" t="str">
            <v/>
          </cell>
          <cell r="AL33">
            <v>0</v>
          </cell>
          <cell r="AM33">
            <v>0</v>
          </cell>
          <cell r="AN33">
            <v>0</v>
          </cell>
        </row>
        <row r="34"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K34">
            <v>2000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  <cell r="W34">
            <v>0.125</v>
          </cell>
          <cell r="X34">
            <v>12500</v>
          </cell>
          <cell r="Y34">
            <v>3571.43</v>
          </cell>
          <cell r="Z34">
            <v>2500</v>
          </cell>
          <cell r="AA34">
            <v>37946.43</v>
          </cell>
          <cell r="AB34">
            <v>68242.429999999993</v>
          </cell>
          <cell r="AC34" t="str">
            <v xml:space="preserve"> Alat baru</v>
          </cell>
          <cell r="AE34" t="str">
            <v>27.</v>
          </cell>
          <cell r="AG34" t="str">
            <v>FULVI MIXER</v>
          </cell>
          <cell r="AH34" t="str">
            <v>E27</v>
          </cell>
          <cell r="AI34">
            <v>75</v>
          </cell>
          <cell r="AJ34" t="str">
            <v xml:space="preserve">          -</v>
          </cell>
          <cell r="AK34" t="str">
            <v/>
          </cell>
          <cell r="AL34">
            <v>0</v>
          </cell>
          <cell r="AM34">
            <v>0</v>
          </cell>
          <cell r="AN34">
            <v>0</v>
          </cell>
        </row>
        <row r="35"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>
            <v>10</v>
          </cell>
          <cell r="H35" t="str">
            <v>Ton</v>
          </cell>
          <cell r="I35">
            <v>225000000</v>
          </cell>
          <cell r="J35">
            <v>5</v>
          </cell>
          <cell r="K35">
            <v>1800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>
            <v>37870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  <cell r="W35">
            <v>0.125</v>
          </cell>
          <cell r="X35">
            <v>15625</v>
          </cell>
          <cell r="Y35">
            <v>3571.43</v>
          </cell>
          <cell r="Z35">
            <v>2500</v>
          </cell>
          <cell r="AA35">
            <v>44946.43</v>
          </cell>
          <cell r="AB35">
            <v>82816.429999999993</v>
          </cell>
          <cell r="AC35" t="str">
            <v xml:space="preserve"> Alat baru</v>
          </cell>
          <cell r="AE35" t="str">
            <v>28.</v>
          </cell>
          <cell r="AG35" t="str">
            <v>CONCRETE PUMP</v>
          </cell>
          <cell r="AH35" t="str">
            <v>E28</v>
          </cell>
          <cell r="AI35">
            <v>100</v>
          </cell>
          <cell r="AJ35">
            <v>8</v>
          </cell>
          <cell r="AK35" t="str">
            <v>M3</v>
          </cell>
          <cell r="AL35">
            <v>0</v>
          </cell>
          <cell r="AM35">
            <v>0</v>
          </cell>
          <cell r="AN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>
            <v>7</v>
          </cell>
          <cell r="H36" t="str">
            <v>Ton</v>
          </cell>
          <cell r="I36">
            <v>300000000</v>
          </cell>
          <cell r="J36">
            <v>4</v>
          </cell>
          <cell r="K36">
            <v>2000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>
            <v>0.125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  <cell r="W36">
            <v>0.125</v>
          </cell>
          <cell r="X36">
            <v>18750</v>
          </cell>
          <cell r="Y36">
            <v>3571.43</v>
          </cell>
          <cell r="Z36">
            <v>2500</v>
          </cell>
          <cell r="AA36">
            <v>53883.93</v>
          </cell>
          <cell r="AB36">
            <v>106334.43</v>
          </cell>
          <cell r="AC36" t="str">
            <v xml:space="preserve"> Alat baru</v>
          </cell>
          <cell r="AE36" t="str">
            <v>29.</v>
          </cell>
          <cell r="AG36" t="str">
            <v>TRAILER 20 TON</v>
          </cell>
          <cell r="AH36" t="str">
            <v>E29</v>
          </cell>
          <cell r="AI36">
            <v>175</v>
          </cell>
          <cell r="AJ36">
            <v>10</v>
          </cell>
          <cell r="AK36" t="str">
            <v>Ton</v>
          </cell>
          <cell r="AL36">
            <v>0</v>
          </cell>
          <cell r="AM36">
            <v>0</v>
          </cell>
          <cell r="AN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 xml:space="preserve">          -</v>
          </cell>
          <cell r="H37" t="str">
            <v/>
          </cell>
          <cell r="I37">
            <v>20000000</v>
          </cell>
          <cell r="J37">
            <v>4</v>
          </cell>
          <cell r="K37">
            <v>1000</v>
          </cell>
          <cell r="L37">
            <v>20000000</v>
          </cell>
          <cell r="M37">
            <v>2000000</v>
          </cell>
          <cell r="N37">
            <v>0.38629999999999998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  <cell r="W37">
            <v>0.125</v>
          </cell>
          <cell r="X37">
            <v>2500</v>
          </cell>
          <cell r="Y37">
            <v>3571.43</v>
          </cell>
          <cell r="Z37">
            <v>2500</v>
          </cell>
          <cell r="AA37">
            <v>12446.43</v>
          </cell>
          <cell r="AB37">
            <v>19439.830000000002</v>
          </cell>
          <cell r="AC37" t="str">
            <v xml:space="preserve"> Alat baru</v>
          </cell>
          <cell r="AE37" t="str">
            <v>30.</v>
          </cell>
          <cell r="AG37" t="str">
            <v>PILE DRIVER + HAMMER</v>
          </cell>
          <cell r="AH37" t="str">
            <v>E30</v>
          </cell>
          <cell r="AI37">
            <v>25</v>
          </cell>
          <cell r="AJ37">
            <v>2.5</v>
          </cell>
          <cell r="AK37" t="str">
            <v>Ton</v>
          </cell>
          <cell r="AL37">
            <v>280000000</v>
          </cell>
          <cell r="AM37">
            <v>75673.33</v>
          </cell>
          <cell r="AN37" t="str">
            <v xml:space="preserve"> Alat baru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>
            <v>30</v>
          </cell>
          <cell r="H38" t="str">
            <v>T/Jam</v>
          </cell>
          <cell r="I38">
            <v>1400000000</v>
          </cell>
          <cell r="J38">
            <v>5</v>
          </cell>
          <cell r="K38">
            <v>2000</v>
          </cell>
          <cell r="L38">
            <v>1400000000</v>
          </cell>
          <cell r="M38">
            <v>140000000</v>
          </cell>
          <cell r="N38">
            <v>0.33439999999999998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  <cell r="W38">
            <v>0.125</v>
          </cell>
          <cell r="X38">
            <v>87500</v>
          </cell>
          <cell r="Y38">
            <v>3571.43</v>
          </cell>
          <cell r="Z38">
            <v>5000</v>
          </cell>
          <cell r="AA38">
            <v>181321.43</v>
          </cell>
          <cell r="AB38">
            <v>393393.43</v>
          </cell>
          <cell r="AC38" t="str">
            <v xml:space="preserve"> Alat baru</v>
          </cell>
          <cell r="AE38" t="str">
            <v>31.</v>
          </cell>
          <cell r="AG38" t="str">
            <v>CRANE ON TRACK 35 TON</v>
          </cell>
          <cell r="AH38" t="str">
            <v>E31</v>
          </cell>
          <cell r="AI38">
            <v>125</v>
          </cell>
          <cell r="AJ38">
            <v>35</v>
          </cell>
          <cell r="AK38" t="str">
            <v>Ton</v>
          </cell>
          <cell r="AL38">
            <v>980000000</v>
          </cell>
          <cell r="AM38">
            <v>249347.63</v>
          </cell>
          <cell r="AN38" t="str">
            <v xml:space="preserve"> Alat baru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  <cell r="I39">
            <v>10000000</v>
          </cell>
          <cell r="J39">
            <v>2</v>
          </cell>
          <cell r="K39">
            <v>2000</v>
          </cell>
          <cell r="L39">
            <v>10000000</v>
          </cell>
          <cell r="M39">
            <v>1000000</v>
          </cell>
          <cell r="N39">
            <v>0.65449999999999997</v>
          </cell>
          <cell r="O39">
            <v>2945.25</v>
          </cell>
          <cell r="P39">
            <v>10</v>
          </cell>
          <cell r="Q39">
            <v>2955.25</v>
          </cell>
          <cell r="R39">
            <v>0.125</v>
          </cell>
          <cell r="S39">
            <v>0.01</v>
          </cell>
          <cell r="T39">
            <v>2325</v>
          </cell>
          <cell r="U39">
            <v>0</v>
          </cell>
          <cell r="V39">
            <v>0</v>
          </cell>
          <cell r="W39">
            <v>0.125</v>
          </cell>
          <cell r="X39">
            <v>625</v>
          </cell>
          <cell r="Y39">
            <v>3571.43</v>
          </cell>
          <cell r="Z39">
            <v>2500</v>
          </cell>
          <cell r="AA39">
            <v>9021.43</v>
          </cell>
          <cell r="AB39">
            <v>11976.68</v>
          </cell>
          <cell r="AC39" t="str">
            <v xml:space="preserve"> Alat baru</v>
          </cell>
        </row>
        <row r="40">
          <cell r="B40" t="str">
            <v>23.</v>
          </cell>
          <cell r="C40" t="str">
            <v>Kap. Prod. / jam =</v>
          </cell>
          <cell r="D40" t="str">
            <v>WATER TANKER 3000-4500 L.</v>
          </cell>
          <cell r="E40" t="str">
            <v>E23</v>
          </cell>
          <cell r="F40">
            <v>100</v>
          </cell>
          <cell r="G40">
            <v>4000</v>
          </cell>
          <cell r="H40" t="str">
            <v>Liter</v>
          </cell>
          <cell r="I40">
            <v>175000000</v>
          </cell>
          <cell r="J40">
            <v>5</v>
          </cell>
          <cell r="K40">
            <v>2000</v>
          </cell>
          <cell r="L40">
            <v>175000000</v>
          </cell>
          <cell r="M40">
            <v>17500000</v>
          </cell>
          <cell r="N40">
            <v>0.33439999999999998</v>
          </cell>
          <cell r="O40">
            <v>26334</v>
          </cell>
          <cell r="P40">
            <v>175</v>
          </cell>
          <cell r="Q40">
            <v>26509</v>
          </cell>
          <cell r="R40">
            <v>0.125</v>
          </cell>
          <cell r="S40">
            <v>0.01</v>
          </cell>
          <cell r="T40">
            <v>38750</v>
          </cell>
          <cell r="U40">
            <v>0</v>
          </cell>
          <cell r="V40">
            <v>0</v>
          </cell>
          <cell r="W40">
            <v>0.125</v>
          </cell>
          <cell r="X40">
            <v>10937.5</v>
          </cell>
          <cell r="Y40">
            <v>3571.43</v>
          </cell>
          <cell r="Z40">
            <v>2500</v>
          </cell>
          <cell r="AA40">
            <v>55758.93</v>
          </cell>
          <cell r="AB40">
            <v>82267.929999999993</v>
          </cell>
          <cell r="AC40" t="str">
            <v xml:space="preserve"> Alat baru</v>
          </cell>
        </row>
        <row r="41">
          <cell r="B41" t="str">
            <v>24.</v>
          </cell>
          <cell r="C41" t="str">
            <v>M01 -  Pasir</v>
          </cell>
          <cell r="D41" t="str">
            <v>PEDESTRIAN ROLLER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  <cell r="I41">
            <v>75000000</v>
          </cell>
          <cell r="J41">
            <v>4</v>
          </cell>
          <cell r="K41">
            <v>2000</v>
          </cell>
          <cell r="L41">
            <v>75000000</v>
          </cell>
          <cell r="M41">
            <v>7500000</v>
          </cell>
          <cell r="N41">
            <v>0.38629999999999998</v>
          </cell>
          <cell r="O41">
            <v>13037.63</v>
          </cell>
          <cell r="P41">
            <v>75</v>
          </cell>
          <cell r="Q41">
            <v>13112.63</v>
          </cell>
          <cell r="R41">
            <v>0.125</v>
          </cell>
          <cell r="S41">
            <v>0.01</v>
          </cell>
          <cell r="T41">
            <v>4262.5</v>
          </cell>
          <cell r="U41">
            <v>0</v>
          </cell>
          <cell r="V41">
            <v>0</v>
          </cell>
          <cell r="W41">
            <v>0.125</v>
          </cell>
          <cell r="X41">
            <v>4687.5</v>
          </cell>
          <cell r="Y41">
            <v>3571.43</v>
          </cell>
          <cell r="Z41">
            <v>2500</v>
          </cell>
          <cell r="AA41">
            <v>15021.43</v>
          </cell>
          <cell r="AB41">
            <v>28134.059999999998</v>
          </cell>
          <cell r="AC41" t="str">
            <v xml:space="preserve"> Alat baru</v>
          </cell>
        </row>
        <row r="42">
          <cell r="B42" t="str">
            <v>25.</v>
          </cell>
          <cell r="C42" t="str">
            <v>Quarry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  <cell r="I42">
            <v>25000000</v>
          </cell>
          <cell r="J42">
            <v>4</v>
          </cell>
          <cell r="K42">
            <v>1000</v>
          </cell>
          <cell r="L42">
            <v>25000000</v>
          </cell>
          <cell r="M42">
            <v>2500000</v>
          </cell>
          <cell r="N42">
            <v>0.38629999999999998</v>
          </cell>
          <cell r="O42">
            <v>8691.75</v>
          </cell>
          <cell r="P42">
            <v>50</v>
          </cell>
          <cell r="Q42">
            <v>8741.75</v>
          </cell>
          <cell r="R42">
            <v>0.125</v>
          </cell>
          <cell r="S42">
            <v>0.01</v>
          </cell>
          <cell r="T42">
            <v>1937.5</v>
          </cell>
          <cell r="U42">
            <v>0</v>
          </cell>
          <cell r="V42">
            <v>0</v>
          </cell>
          <cell r="W42">
            <v>0.125</v>
          </cell>
          <cell r="X42">
            <v>3125</v>
          </cell>
          <cell r="Y42">
            <v>3571.43</v>
          </cell>
          <cell r="Z42">
            <v>2500</v>
          </cell>
          <cell r="AA42">
            <v>11133.93</v>
          </cell>
          <cell r="AB42">
            <v>19875.68</v>
          </cell>
          <cell r="AC42" t="str">
            <v xml:space="preserve"> Alat baru</v>
          </cell>
        </row>
        <row r="43">
          <cell r="B43" t="str">
            <v>26.</v>
          </cell>
          <cell r="C43" t="str">
            <v>Base Camp / Lokasi Pekerjaan</v>
          </cell>
          <cell r="D43" t="str">
            <v>JACK HAMMER</v>
          </cell>
          <cell r="E43" t="str">
            <v>E26</v>
          </cell>
          <cell r="F43">
            <v>3</v>
          </cell>
          <cell r="G43" t="str">
            <v xml:space="preserve">          -</v>
          </cell>
          <cell r="H43" t="str">
            <v/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>
            <v>8</v>
          </cell>
          <cell r="H45" t="str">
            <v>M3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B46" t="str">
            <v>29.</v>
          </cell>
          <cell r="C46" t="str">
            <v>Kaasitas bak</v>
          </cell>
          <cell r="D46" t="str">
            <v>TRAILER 20 TON</v>
          </cell>
          <cell r="E46" t="str">
            <v>E29</v>
          </cell>
          <cell r="F46">
            <v>175</v>
          </cell>
          <cell r="G46">
            <v>10</v>
          </cell>
          <cell r="H46" t="str">
            <v>Ton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>
            <v>2.5</v>
          </cell>
          <cell r="H47" t="str">
            <v>Ton</v>
          </cell>
          <cell r="I47">
            <v>280000000</v>
          </cell>
          <cell r="J47">
            <v>5</v>
          </cell>
          <cell r="K47">
            <v>2000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>
            <v>42414.400000000001</v>
          </cell>
          <cell r="R47">
            <v>0.125</v>
          </cell>
          <cell r="S47">
            <v>0.01</v>
          </cell>
          <cell r="T47">
            <v>9687.5</v>
          </cell>
          <cell r="U47">
            <v>0</v>
          </cell>
          <cell r="V47">
            <v>0</v>
          </cell>
          <cell r="W47">
            <v>0.125</v>
          </cell>
          <cell r="X47">
            <v>17500</v>
          </cell>
          <cell r="Y47">
            <v>3571.43</v>
          </cell>
          <cell r="Z47">
            <v>2500</v>
          </cell>
          <cell r="AA47">
            <v>33258.93</v>
          </cell>
          <cell r="AB47">
            <v>75673.33</v>
          </cell>
          <cell r="AC47" t="str">
            <v xml:space="preserve"> Alat baru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>
            <v>35</v>
          </cell>
          <cell r="H48" t="str">
            <v>Ton</v>
          </cell>
          <cell r="I48">
            <v>980000000</v>
          </cell>
          <cell r="J48">
            <v>6</v>
          </cell>
          <cell r="K48">
            <v>2000</v>
          </cell>
          <cell r="L48">
            <v>980000000</v>
          </cell>
          <cell r="M48">
            <v>98000000</v>
          </cell>
          <cell r="N48">
            <v>0.30070000000000002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0</v>
          </cell>
          <cell r="V48">
            <v>0</v>
          </cell>
          <cell r="W48">
            <v>0.125</v>
          </cell>
          <cell r="X48">
            <v>61250</v>
          </cell>
          <cell r="Y48">
            <v>3571.43</v>
          </cell>
          <cell r="Z48">
            <v>2500</v>
          </cell>
          <cell r="AA48">
            <v>115758.93</v>
          </cell>
          <cell r="AB48">
            <v>249347.63</v>
          </cell>
          <cell r="AC48" t="str">
            <v xml:space="preserve"> Alat baru</v>
          </cell>
        </row>
        <row r="49">
          <cell r="C49" t="str">
            <v>ASUMSI</v>
          </cell>
          <cell r="G49" t="str">
            <v>v2</v>
          </cell>
          <cell r="H49">
            <v>60</v>
          </cell>
          <cell r="I49" t="str">
            <v>Km/Jam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1558.6</v>
          </cell>
        </row>
        <row r="50">
          <cell r="C50" t="str">
            <v>Menggunakan alat berat</v>
          </cell>
          <cell r="E50" t="str">
            <v>=   (L  :  v1)  x  60</v>
          </cell>
          <cell r="G50" t="str">
            <v>Ts2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17144.61</v>
          </cell>
        </row>
        <row r="51">
          <cell r="C51" t="str">
            <v>Kondisi Jalan   :  sedang / baik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Jarak Quarry ke lokasi Pekerjaan</v>
          </cell>
          <cell r="D52" t="str">
            <v xml:space="preserve">KETERANGAN  : </v>
          </cell>
          <cell r="E52" t="str">
            <v>1.</v>
          </cell>
          <cell r="F52" t="str">
            <v>Tingkat Suku Bunga</v>
          </cell>
          <cell r="G52" t="str">
            <v>Km</v>
          </cell>
          <cell r="H52">
            <v>1</v>
          </cell>
          <cell r="I52" t="str">
            <v>menit</v>
          </cell>
          <cell r="K52" t="str">
            <v>=</v>
          </cell>
          <cell r="L52">
            <v>20</v>
          </cell>
          <cell r="M52" t="str">
            <v>%  per-tahun</v>
          </cell>
          <cell r="N52" t="str">
            <v>SATUAN dapat berdasarkan atas jam operasi untuk Tenaga Kerja dan Peralatan, volume dan/atau ukuran berat untuk bahan-bahan</v>
          </cell>
        </row>
        <row r="53">
          <cell r="C53" t="str">
            <v>Harga satuan pasir di Quarry</v>
          </cell>
          <cell r="E53" t="str">
            <v>2.</v>
          </cell>
          <cell r="F53" t="str">
            <v>Upah Operator / Sopir / Mekanik</v>
          </cell>
          <cell r="G53" t="str">
            <v>M3</v>
          </cell>
          <cell r="H53">
            <v>15000</v>
          </cell>
          <cell r="I53" t="str">
            <v>menit</v>
          </cell>
          <cell r="K53" t="str">
            <v>=</v>
          </cell>
          <cell r="L53">
            <v>3571.43</v>
          </cell>
          <cell r="M53" t="str">
            <v>Rupiah per-orang/jam</v>
          </cell>
          <cell r="N53" t="str">
            <v>Kuantitas satuan adalah kuantitas setiap komponen untuk menyelesaikan satu satuan pekerjaan dari nomor mata pembayaran</v>
          </cell>
        </row>
        <row r="54">
          <cell r="C54" t="str">
            <v>Harga Satuan Dasar Dump Truck</v>
          </cell>
          <cell r="E54" t="str">
            <v>3.</v>
          </cell>
          <cell r="F54" t="str">
            <v>Upah Pembantu Operator/Sopir/Mekanik</v>
          </cell>
          <cell r="G54" t="str">
            <v>Jam</v>
          </cell>
          <cell r="H54">
            <v>82267.929999999993</v>
          </cell>
          <cell r="I54" t="str">
            <v>menit</v>
          </cell>
          <cell r="K54" t="str">
            <v>=</v>
          </cell>
          <cell r="L54">
            <v>2500</v>
          </cell>
          <cell r="M54" t="str">
            <v>Rupiah per-orang/jam</v>
          </cell>
          <cell r="N54" t="str">
            <v>Biaya satuan untuk peralatan sudah termasuk bahan bakar, bahan habis dipakai dan operator.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K55" t="str">
            <v>=</v>
          </cell>
          <cell r="L55">
            <v>1825</v>
          </cell>
          <cell r="M55" t="str">
            <v>Rupiah per-liter</v>
          </cell>
          <cell r="N55" t="str">
            <v>Biaya satuan sudah termasuk pengeluaran untuk seluruh pajak yang berkaitan (tetapi tidak termasuk PPN yang dibayar dari kontrak )</v>
          </cell>
        </row>
        <row r="56"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Berlanjut ke halaman berikut</v>
          </cell>
          <cell r="K56" t="str">
            <v>=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K57" t="str">
            <v>=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 xml:space="preserve">         URAIAN ANALISA HARGA SATUAN</v>
          </cell>
          <cell r="L59" t="str">
            <v>FORMULIR STANDAR UNTUK</v>
          </cell>
        </row>
      </sheetData>
      <sheetData sheetId="8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2.1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Pek. Galian Untuk Saluran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</row>
        <row r="5">
          <cell r="B5" t="str">
            <v>U R A I A N</v>
          </cell>
          <cell r="E5" t="str">
            <v>SATUAN</v>
          </cell>
          <cell r="F5" t="str">
            <v>ALAT</v>
          </cell>
          <cell r="G5" t="str">
            <v>ALAT</v>
          </cell>
          <cell r="H5" t="str">
            <v>KET.</v>
          </cell>
          <cell r="I5" t="str">
            <v>ALAT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</row>
        <row r="6">
          <cell r="A6" t="str">
            <v>No.</v>
          </cell>
          <cell r="C6" t="str">
            <v>U R A I A N</v>
          </cell>
          <cell r="F6" t="str">
            <v>(Rp)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</row>
        <row r="7">
          <cell r="J7" t="str">
            <v>ALAT</v>
          </cell>
          <cell r="L7" t="str">
            <v>PROYEK</v>
          </cell>
          <cell r="N7" t="str">
            <v>MODAL</v>
          </cell>
          <cell r="O7" t="str">
            <v>:  Peningkatan Jalan dan Jembatan Wilayah Barat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</row>
        <row r="8"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  <cell r="L8" t="str">
            <v>No. PAKET KONTRAK</v>
          </cell>
          <cell r="O8" t="str">
            <v xml:space="preserve">: </v>
          </cell>
        </row>
        <row r="9">
          <cell r="A9" t="str">
            <v>I.</v>
          </cell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L9" t="str">
            <v>PEKERJAAN</v>
          </cell>
          <cell r="M9" t="str">
            <v>(Rp.)</v>
          </cell>
          <cell r="N9" t="str">
            <v>-</v>
          </cell>
          <cell r="O9" t="str">
            <v>:  Pembangunan Jembatan Beton Tersebar di Wilayah Barat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</row>
        <row r="10">
          <cell r="A10">
            <v>1</v>
          </cell>
          <cell r="B10" t="str">
            <v>No.</v>
          </cell>
          <cell r="C10" t="str">
            <v>Menggunakan alat berat (cara mekanik)</v>
          </cell>
          <cell r="E10" t="str">
            <v>KODE</v>
          </cell>
          <cell r="F10">
            <v>25000</v>
          </cell>
          <cell r="G10">
            <v>25</v>
          </cell>
          <cell r="H10" t="str">
            <v xml:space="preserve"> Ke Lokasi Pek.</v>
          </cell>
          <cell r="L10" t="str">
            <v>KABUPATEN</v>
          </cell>
          <cell r="O10" t="str">
            <v>:  Lampung Timur</v>
          </cell>
          <cell r="T10" t="str">
            <v>f1 x HP x</v>
          </cell>
        </row>
        <row r="11">
          <cell r="A11">
            <v>2</v>
          </cell>
          <cell r="C11" t="str">
            <v>Lokasi pekerjaan : 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:  2.1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</row>
        <row r="12">
          <cell r="A12">
            <v>3</v>
          </cell>
          <cell r="C12" t="str">
            <v>Kondisi Jalan   :  sedang / baik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:  Pek. Galian Untuk Saluran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:  M3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</row>
        <row r="14">
          <cell r="A14">
            <v>5</v>
          </cell>
          <cell r="C14" t="str">
            <v>Faktor pengembangan bahan</v>
          </cell>
          <cell r="E14" t="str">
            <v>M3</v>
          </cell>
          <cell r="F14">
            <v>65000</v>
          </cell>
          <cell r="G14" t="str">
            <v>Fk</v>
          </cell>
          <cell r="H14">
            <v>1.2</v>
          </cell>
          <cell r="I14" t="str">
            <v>-</v>
          </cell>
          <cell r="T14" t="str">
            <v>Harga Olie</v>
          </cell>
        </row>
        <row r="15">
          <cell r="A15">
            <v>6</v>
          </cell>
          <cell r="C15" t="str">
            <v>Faktor kembang material (Padat-Lepas)</v>
          </cell>
          <cell r="F15" t="str">
            <v>HP</v>
          </cell>
          <cell r="G15" t="str">
            <v>Cp</v>
          </cell>
          <cell r="H15">
            <v>1.6667000000000001</v>
          </cell>
          <cell r="I15" t="str">
            <v>B</v>
          </cell>
          <cell r="J15" t="str">
            <v>A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</row>
        <row r="16">
          <cell r="A16" t="str">
            <v>II.</v>
          </cell>
          <cell r="B16" t="str">
            <v>1</v>
          </cell>
          <cell r="C16" t="str">
            <v>URUTAN  KERJA</v>
          </cell>
          <cell r="E16" t="str">
            <v>2a</v>
          </cell>
          <cell r="F16" t="str">
            <v>3</v>
          </cell>
          <cell r="G16" t="str">
            <v>4</v>
          </cell>
          <cell r="H16">
            <v>7</v>
          </cell>
          <cell r="I16" t="str">
            <v>5</v>
          </cell>
          <cell r="J16" t="str">
            <v>6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PERKIRAAN</v>
          </cell>
          <cell r="R16" t="str">
            <v>HARGA</v>
          </cell>
          <cell r="S16" t="str">
            <v>JUMLAH</v>
          </cell>
          <cell r="T16" t="str">
            <v>16</v>
          </cell>
          <cell r="U16" t="str">
            <v>17</v>
          </cell>
          <cell r="V16" t="str">
            <v>18</v>
          </cell>
        </row>
        <row r="17">
          <cell r="A17">
            <v>1</v>
          </cell>
          <cell r="C17" t="str">
            <v>Penggalian dilakukan dengan menggunakan Excavator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SATUAN</v>
          </cell>
          <cell r="S17" t="str">
            <v>HARGA</v>
          </cell>
        </row>
        <row r="18">
          <cell r="A18">
            <v>2</v>
          </cell>
          <cell r="B18" t="str">
            <v>1.</v>
          </cell>
          <cell r="C18" t="str">
            <v>Selanjutnya Excavator menuangkan material hasil</v>
          </cell>
          <cell r="D18" t="str">
            <v>ASPHALT MIXING PLANT</v>
          </cell>
          <cell r="E18" t="str">
            <v>E01</v>
          </cell>
          <cell r="F18">
            <v>150</v>
          </cell>
          <cell r="G18">
            <v>30</v>
          </cell>
          <cell r="H18" t="str">
            <v>T/Jam</v>
          </cell>
          <cell r="I18">
            <v>1500000000</v>
          </cell>
          <cell r="J18">
            <v>10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 t="str">
            <v>(Rp.)</v>
          </cell>
          <cell r="S18" t="str">
            <v>(Rp.)</v>
          </cell>
          <cell r="T18">
            <v>486525</v>
          </cell>
          <cell r="U18">
            <v>0</v>
          </cell>
          <cell r="V18">
            <v>0</v>
          </cell>
        </row>
        <row r="19">
          <cell r="A19">
            <v>3</v>
          </cell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  <cell r="I19">
            <v>750000000</v>
          </cell>
          <cell r="J19">
            <v>6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</row>
        <row r="20">
          <cell r="A20">
            <v>3</v>
          </cell>
          <cell r="B20" t="str">
            <v>3.</v>
          </cell>
          <cell r="C20" t="str">
            <v>Dump Truck membuang material hasil galian keluar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L20">
            <v>60000000</v>
          </cell>
          <cell r="M20">
            <v>6000000</v>
          </cell>
          <cell r="N20">
            <v>0.33439999999999998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</row>
        <row r="21">
          <cell r="A21">
            <v>4</v>
          </cell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>L</v>
          </cell>
          <cell r="H21">
            <v>1</v>
          </cell>
          <cell r="I21" t="str">
            <v>Km</v>
          </cell>
          <cell r="J21">
            <v>5</v>
          </cell>
          <cell r="L21" t="str">
            <v>A.</v>
          </cell>
          <cell r="M21">
            <v>55000000</v>
          </cell>
          <cell r="N21" t="str">
            <v>TENAGA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</row>
        <row r="22">
          <cell r="A22">
            <v>4</v>
          </cell>
          <cell r="B22" t="str">
            <v>5.</v>
          </cell>
          <cell r="C22" t="str">
            <v>Sekelompok pekerja akan merapikan hasil galian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 xml:space="preserve">          -</v>
          </cell>
          <cell r="H22" t="str">
            <v/>
          </cell>
          <cell r="I22">
            <v>50000000</v>
          </cell>
          <cell r="J22">
            <v>5</v>
          </cell>
          <cell r="L22">
            <v>50000000</v>
          </cell>
          <cell r="M22">
            <v>5000000</v>
          </cell>
          <cell r="N22">
            <v>0.33439999999999998</v>
          </cell>
          <cell r="O22">
            <v>7524</v>
          </cell>
          <cell r="P22">
            <v>50</v>
          </cell>
          <cell r="Q22">
            <v>7574</v>
          </cell>
          <cell r="R22">
            <v>0.125</v>
          </cell>
          <cell r="S22">
            <v>0.01</v>
          </cell>
          <cell r="T22">
            <v>31000</v>
          </cell>
          <cell r="U22">
            <v>0</v>
          </cell>
          <cell r="V22">
            <v>0</v>
          </cell>
        </row>
        <row r="23">
          <cell r="A23">
            <v>2</v>
          </cell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L23" t="str">
            <v>1.</v>
          </cell>
          <cell r="M23">
            <v>3000000</v>
          </cell>
          <cell r="N23" t="str">
            <v>Pekerja</v>
          </cell>
          <cell r="O23" t="str">
            <v>(L01)</v>
          </cell>
          <cell r="P23" t="str">
            <v>jam</v>
          </cell>
          <cell r="Q23">
            <v>0.13919999999999999</v>
          </cell>
          <cell r="R23">
            <v>2500</v>
          </cell>
          <cell r="S23">
            <v>0.01</v>
          </cell>
          <cell r="T23">
            <v>5812.5</v>
          </cell>
          <cell r="U23">
            <v>348</v>
          </cell>
          <cell r="V23">
            <v>0</v>
          </cell>
        </row>
        <row r="24">
          <cell r="A24" t="str">
            <v>III.</v>
          </cell>
          <cell r="B24" t="str">
            <v>7.</v>
          </cell>
          <cell r="C24" t="str">
            <v>PEMAKAIAN BAHAN, ALAT DAN TENAGA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L24" t="str">
            <v>2.</v>
          </cell>
          <cell r="M24">
            <v>35000000</v>
          </cell>
          <cell r="N24" t="str">
            <v>Mandor</v>
          </cell>
          <cell r="O24" t="str">
            <v>(L03)</v>
          </cell>
          <cell r="P24" t="str">
            <v>jam</v>
          </cell>
          <cell r="Q24">
            <v>3.4799999999999998E-2</v>
          </cell>
          <cell r="R24">
            <v>3571.43</v>
          </cell>
          <cell r="S24">
            <v>0.01</v>
          </cell>
          <cell r="T24">
            <v>58125</v>
          </cell>
          <cell r="U24">
            <v>124.29</v>
          </cell>
          <cell r="V24">
            <v>0</v>
          </cell>
        </row>
        <row r="25">
          <cell r="A25">
            <v>3</v>
          </cell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</row>
        <row r="26">
          <cell r="A26" t="str">
            <v xml:space="preserve">   1.</v>
          </cell>
          <cell r="B26" t="str">
            <v>9.</v>
          </cell>
          <cell r="C26" t="str">
            <v>BAHAN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>
            <v>34083</v>
          </cell>
          <cell r="R26">
            <v>0.125</v>
          </cell>
          <cell r="S26">
            <v>0.01</v>
          </cell>
          <cell r="T26">
            <v>48437.5</v>
          </cell>
          <cell r="U26">
            <v>0</v>
          </cell>
          <cell r="V26">
            <v>0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 t="str">
            <v xml:space="preserve">JUMLAH HARGA TENAGA   </v>
          </cell>
          <cell r="S27">
            <v>0.01</v>
          </cell>
          <cell r="T27">
            <v>31000</v>
          </cell>
          <cell r="U27">
            <v>472.29</v>
          </cell>
          <cell r="V27">
            <v>0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L28">
            <v>100000000</v>
          </cell>
          <cell r="M28">
            <v>10000000</v>
          </cell>
          <cell r="N28">
            <v>0.33439999999999998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</row>
        <row r="29">
          <cell r="A29" t="str">
            <v xml:space="preserve">   2.</v>
          </cell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L29" t="str">
            <v>B.</v>
          </cell>
          <cell r="M29">
            <v>4000000</v>
          </cell>
          <cell r="N29" t="str">
            <v>BAHAN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</row>
        <row r="30">
          <cell r="A30" t="str">
            <v xml:space="preserve">   2.a.</v>
          </cell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>(E10)</v>
          </cell>
          <cell r="H30" t="str">
            <v/>
          </cell>
          <cell r="I30">
            <v>600000000</v>
          </cell>
          <cell r="J30">
            <v>5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 t="str">
            <v>V</v>
          </cell>
          <cell r="H31">
            <v>0.5</v>
          </cell>
          <cell r="I31" t="str">
            <v>M3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 t="str">
            <v>Fb</v>
          </cell>
          <cell r="H32">
            <v>0.9</v>
          </cell>
          <cell r="I32" t="str">
            <v>-</v>
          </cell>
          <cell r="J32">
            <v>5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 t="str">
            <v>Fa</v>
          </cell>
          <cell r="H33">
            <v>0.83</v>
          </cell>
          <cell r="I33" t="str">
            <v>-</v>
          </cell>
          <cell r="J33">
            <v>5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</row>
        <row r="34">
          <cell r="A34" t="str">
            <v xml:space="preserve">   2.</v>
          </cell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</row>
        <row r="35">
          <cell r="A35" t="str">
            <v xml:space="preserve">   2.a.</v>
          </cell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 t="str">
            <v>Ts1</v>
          </cell>
          <cell r="H35" t="str">
            <v>Ton</v>
          </cell>
          <cell r="I35" t="str">
            <v>menit</v>
          </cell>
          <cell r="J35">
            <v>5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>
            <v>37870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 t="str">
            <v>T1</v>
          </cell>
          <cell r="H36">
            <v>0.35</v>
          </cell>
          <cell r="I36" t="str">
            <v>menit</v>
          </cell>
          <cell r="J36">
            <v>4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 t="str">
            <v xml:space="preserve">JUMLAH HARGA BAHAN   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>T2</v>
          </cell>
          <cell r="H37">
            <v>0.3</v>
          </cell>
          <cell r="I37" t="str">
            <v>menit</v>
          </cell>
          <cell r="J37">
            <v>4</v>
          </cell>
          <cell r="L37">
            <v>20000000</v>
          </cell>
          <cell r="M37">
            <v>2000000</v>
          </cell>
          <cell r="N37">
            <v>0.38629999999999998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 t="str">
            <v>Ts1</v>
          </cell>
          <cell r="H38">
            <v>0.64999999999999991</v>
          </cell>
          <cell r="I38" t="str">
            <v>menit</v>
          </cell>
          <cell r="J38">
            <v>5</v>
          </cell>
          <cell r="L38" t="str">
            <v>C.</v>
          </cell>
          <cell r="M38">
            <v>140000000</v>
          </cell>
          <cell r="N38" t="str">
            <v>PERALATAN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  <cell r="I39">
            <v>10000000</v>
          </cell>
          <cell r="J39">
            <v>2</v>
          </cell>
          <cell r="L39">
            <v>10000000</v>
          </cell>
          <cell r="M39">
            <v>1000000</v>
          </cell>
          <cell r="N39">
            <v>0.65449999999999997</v>
          </cell>
          <cell r="O39">
            <v>2945.25</v>
          </cell>
          <cell r="P39">
            <v>10</v>
          </cell>
          <cell r="Q39">
            <v>2955.25</v>
          </cell>
          <cell r="R39">
            <v>0.125</v>
          </cell>
          <cell r="S39">
            <v>0.01</v>
          </cell>
          <cell r="T39">
            <v>2325</v>
          </cell>
          <cell r="U39">
            <v>0</v>
          </cell>
          <cell r="V39">
            <v>0</v>
          </cell>
        </row>
        <row r="40">
          <cell r="B40" t="str">
            <v>23.</v>
          </cell>
          <cell r="C40" t="str">
            <v>Kap. Prod. / jam =</v>
          </cell>
          <cell r="D40" t="str">
            <v>V  x Fb x Fa x 60</v>
          </cell>
          <cell r="E40" t="str">
            <v>E23</v>
          </cell>
          <cell r="F40">
            <v>100</v>
          </cell>
          <cell r="G40" t="str">
            <v>Q1</v>
          </cell>
          <cell r="H40">
            <v>28.730799999999999</v>
          </cell>
          <cell r="I40" t="str">
            <v>M3  / jam</v>
          </cell>
          <cell r="J40">
            <v>5</v>
          </cell>
          <cell r="L40" t="str">
            <v>1.</v>
          </cell>
          <cell r="M40">
            <v>17500000</v>
          </cell>
          <cell r="N40" t="str">
            <v>Excavator</v>
          </cell>
          <cell r="O40" t="str">
            <v>(E10)</v>
          </cell>
          <cell r="P40" t="str">
            <v>jam</v>
          </cell>
          <cell r="Q40">
            <v>3.4799999999999998E-2</v>
          </cell>
          <cell r="R40">
            <v>251051.43</v>
          </cell>
          <cell r="S40">
            <v>0.01</v>
          </cell>
          <cell r="T40">
            <v>38750</v>
          </cell>
          <cell r="U40">
            <v>8736.59</v>
          </cell>
          <cell r="V40">
            <v>0</v>
          </cell>
        </row>
        <row r="41">
          <cell r="B41" t="str">
            <v>24.</v>
          </cell>
          <cell r="C41" t="str">
            <v>- Waktu tempuh isi           =  (L : v1) x 60 menit</v>
          </cell>
          <cell r="D41" t="str">
            <v>Ts1 x Fh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  <cell r="I41">
            <v>75000000</v>
          </cell>
          <cell r="J41">
            <v>4</v>
          </cell>
          <cell r="L41" t="str">
            <v>2.</v>
          </cell>
          <cell r="M41">
            <v>7500000</v>
          </cell>
          <cell r="N41" t="str">
            <v>Dump Truck</v>
          </cell>
          <cell r="O41" t="str">
            <v>(E08)</v>
          </cell>
          <cell r="P41" t="str">
            <v>jam</v>
          </cell>
          <cell r="Q41">
            <v>6.8400000000000002E-2</v>
          </cell>
          <cell r="R41">
            <v>82267.929999999993</v>
          </cell>
          <cell r="S41">
            <v>0.01</v>
          </cell>
          <cell r="T41">
            <v>4262.5</v>
          </cell>
          <cell r="U41">
            <v>5627.13</v>
          </cell>
          <cell r="V41">
            <v>0</v>
          </cell>
        </row>
        <row r="42">
          <cell r="B42" t="str">
            <v>25.</v>
          </cell>
          <cell r="C42" t="str">
            <v>Koefisien Alat / M3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  <cell r="I42">
            <v>25000000</v>
          </cell>
          <cell r="J42">
            <v>4</v>
          </cell>
          <cell r="L42" t="str">
            <v>3.</v>
          </cell>
          <cell r="M42">
            <v>2500000</v>
          </cell>
          <cell r="N42" t="str">
            <v>Alat Bantu</v>
          </cell>
          <cell r="O42">
            <v>8691.75</v>
          </cell>
          <cell r="P42" t="str">
            <v>Ls</v>
          </cell>
          <cell r="Q42">
            <v>1</v>
          </cell>
          <cell r="R42">
            <v>750</v>
          </cell>
          <cell r="S42">
            <v>0.01</v>
          </cell>
          <cell r="T42">
            <v>1937.5</v>
          </cell>
          <cell r="U42">
            <v>750</v>
          </cell>
          <cell r="V42">
            <v>0</v>
          </cell>
        </row>
        <row r="43">
          <cell r="B43" t="str">
            <v>26.</v>
          </cell>
          <cell r="C43" t="str">
            <v>Koefisien Alat / M3</v>
          </cell>
          <cell r="D43" t="str">
            <v xml:space="preserve"> =  1  :  Q1</v>
          </cell>
          <cell r="E43" t="str">
            <v>E26</v>
          </cell>
          <cell r="F43">
            <v>3</v>
          </cell>
          <cell r="G43" t="str">
            <v>-</v>
          </cell>
          <cell r="H43">
            <v>3.4799999999999998E-2</v>
          </cell>
          <cell r="I43" t="str">
            <v>Jam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</row>
        <row r="44">
          <cell r="A44" t="str">
            <v xml:space="preserve">   2.b.</v>
          </cell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</row>
        <row r="45">
          <cell r="A45" t="str">
            <v xml:space="preserve">   2.b.</v>
          </cell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 t="str">
            <v>(E08)</v>
          </cell>
          <cell r="H45" t="str">
            <v>M3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</row>
        <row r="46">
          <cell r="B46" t="str">
            <v>29.</v>
          </cell>
          <cell r="C46" t="str">
            <v>Kaasitas bak</v>
          </cell>
          <cell r="D46" t="str">
            <v>TRAILER 20 TON</v>
          </cell>
          <cell r="E46" t="str">
            <v>E29</v>
          </cell>
          <cell r="F46">
            <v>175</v>
          </cell>
          <cell r="G46" t="str">
            <v>V</v>
          </cell>
          <cell r="H46">
            <v>4</v>
          </cell>
          <cell r="I46" t="str">
            <v>M3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 t="str">
            <v>Fa</v>
          </cell>
          <cell r="H47">
            <v>0.83</v>
          </cell>
          <cell r="I47" t="str">
            <v>-</v>
          </cell>
          <cell r="J47">
            <v>5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>
            <v>42414.400000000001</v>
          </cell>
          <cell r="R47" t="str">
            <v xml:space="preserve">JUMLAH HARGA PERALATAN   </v>
          </cell>
          <cell r="S47">
            <v>0.01</v>
          </cell>
          <cell r="T47">
            <v>9687.5</v>
          </cell>
          <cell r="U47">
            <v>15113.720000000001</v>
          </cell>
          <cell r="V47">
            <v>0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 t="str">
            <v>v1</v>
          </cell>
          <cell r="H48">
            <v>40</v>
          </cell>
          <cell r="I48" t="str">
            <v>Km/Jam</v>
          </cell>
          <cell r="J48">
            <v>6</v>
          </cell>
          <cell r="L48" t="str">
            <v>D.</v>
          </cell>
          <cell r="M48">
            <v>98000000</v>
          </cell>
          <cell r="N48" t="str">
            <v>JUMLAH HARGA TENAGA, BAHAN DAN PERALATAN  ( A + B + C )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15586.010000000002</v>
          </cell>
          <cell r="V48">
            <v>0</v>
          </cell>
        </row>
        <row r="49">
          <cell r="C49" t="str">
            <v>Kecepatan rata-rata kosong</v>
          </cell>
          <cell r="G49" t="str">
            <v>v2</v>
          </cell>
          <cell r="H49">
            <v>60</v>
          </cell>
          <cell r="I49" t="str">
            <v>Km/Jam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1558.6</v>
          </cell>
        </row>
        <row r="50">
          <cell r="C50" t="str">
            <v>Waktu  siklus  :</v>
          </cell>
          <cell r="E50" t="str">
            <v>=   (L  :  v1)  x  60</v>
          </cell>
          <cell r="G50" t="str">
            <v>Ts2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17144.61</v>
          </cell>
        </row>
        <row r="51">
          <cell r="C51" t="str">
            <v>- Waktu tempuh isi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- Waktu tempuh kosong</v>
          </cell>
          <cell r="D52" t="str">
            <v xml:space="preserve">KETERANGAN  : </v>
          </cell>
          <cell r="E52" t="str">
            <v>=   (L  :  v2)  x  60</v>
          </cell>
          <cell r="F52" t="str">
            <v>Tingkat Suku Bunga</v>
          </cell>
          <cell r="G52" t="str">
            <v>T2</v>
          </cell>
          <cell r="H52">
            <v>1</v>
          </cell>
          <cell r="I52" t="str">
            <v>menit</v>
          </cell>
          <cell r="L52" t="str">
            <v>Note: 1</v>
          </cell>
          <cell r="M52" t="str">
            <v>%  per-tahun</v>
          </cell>
          <cell r="N52" t="str">
            <v>SATUAN dapat berdasarkan atas jam operasi untuk Tenaga Kerja dan Peralatan, volume dan/atau ukuran berat untuk bahan-bahan</v>
          </cell>
        </row>
        <row r="53">
          <cell r="C53" t="str">
            <v>- Muat</v>
          </cell>
          <cell r="E53" t="str">
            <v>=   (V  :  Q1) x 60</v>
          </cell>
          <cell r="F53" t="str">
            <v>Upah Operator / Sopir / Mekanik</v>
          </cell>
          <cell r="G53" t="str">
            <v>T3</v>
          </cell>
          <cell r="H53">
            <v>8.3534000000000006</v>
          </cell>
          <cell r="I53" t="str">
            <v>menit</v>
          </cell>
          <cell r="L53">
            <v>2</v>
          </cell>
          <cell r="M53" t="str">
            <v>Rupiah per-orang/jam</v>
          </cell>
          <cell r="N53" t="str">
            <v>Kuantitas satuan adalah kuantitas setiap komponen untuk menyelesaikan satu satuan pekerjaan dari nomor mata pembayaran</v>
          </cell>
        </row>
        <row r="54">
          <cell r="C54" t="str">
            <v>- Lain-lain</v>
          </cell>
          <cell r="E54" t="str">
            <v>3.</v>
          </cell>
          <cell r="F54" t="str">
            <v>Upah Pembantu Operator/Sopir/Mekanik</v>
          </cell>
          <cell r="G54" t="str">
            <v>T4</v>
          </cell>
          <cell r="H54">
            <v>0.5</v>
          </cell>
          <cell r="I54" t="str">
            <v>menit</v>
          </cell>
          <cell r="L54">
            <v>3</v>
          </cell>
          <cell r="M54" t="str">
            <v>Rupiah per-orang/jam</v>
          </cell>
          <cell r="N54" t="str">
            <v>Biaya satuan untuk peralatan sudah termasuk bahan bakar, bahan habis dipakai dan operator.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L55">
            <v>4</v>
          </cell>
          <cell r="M55" t="str">
            <v>Rupiah per-liter</v>
          </cell>
          <cell r="N55" t="str">
            <v>Biaya satuan sudah termasuk pengeluaran untuk seluruh pajak yang berkaitan (tetapi tidak termasuk PPN yang dibayar dari kontrak )</v>
          </cell>
        </row>
        <row r="56">
          <cell r="A56" t="str">
            <v>ITEM PEMBAYARAN NO.</v>
          </cell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Berlanjut ke halaman berikut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A57" t="str">
            <v>ITEM PEMBAYARAN NO.</v>
          </cell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A58" t="str">
            <v>JENIS PEKERJAAN</v>
          </cell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A59" t="str">
            <v>SATUAN PEMBAYARAN</v>
          </cell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 xml:space="preserve">         URAIAN ANALISA HARGA SATUAN</v>
          </cell>
          <cell r="L59" t="str">
            <v>FORMULIR STANDAR UNTUK</v>
          </cell>
        </row>
        <row r="60">
          <cell r="J60" t="str">
            <v>Lanjutan</v>
          </cell>
          <cell r="L60" t="str">
            <v>PEREKAMAN ANALISA MASING-MASING HARGA SATUAN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  <cell r="L61" t="str">
            <v>PROYEK</v>
          </cell>
          <cell r="O61" t="str">
            <v>:  Peningkatan Jalan dan Jembatan Wilayah Barat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L62" t="str">
            <v>No. PAKET KONTRAK</v>
          </cell>
          <cell r="O62" t="str">
            <v xml:space="preserve">: </v>
          </cell>
        </row>
        <row r="63">
          <cell r="L63" t="str">
            <v>PROYEK</v>
          </cell>
          <cell r="O63" t="str">
            <v>:  Peningkatan Jalan dan Jembatan Wilayah Barat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  <cell r="L64" t="str">
            <v>No. PAKET KONTRAK</v>
          </cell>
          <cell r="O64" t="str">
            <v xml:space="preserve">: </v>
          </cell>
        </row>
        <row r="65">
          <cell r="C65" t="str">
            <v>Kapasitas Produksi / Jam   =</v>
          </cell>
          <cell r="D65" t="str">
            <v>V x Fa x 60</v>
          </cell>
          <cell r="E65" t="str">
            <v>V x Fa x 60</v>
          </cell>
          <cell r="G65" t="str">
            <v>Q2</v>
          </cell>
          <cell r="H65">
            <v>14.6212</v>
          </cell>
          <cell r="I65" t="str">
            <v xml:space="preserve">M3 / Jam </v>
          </cell>
          <cell r="L65" t="str">
            <v>NAMA PAKET</v>
          </cell>
          <cell r="O65" t="str">
            <v>:  Pembangunan Jembatan Beton Tersebar di Wilayah Barat</v>
          </cell>
        </row>
        <row r="66">
          <cell r="D66" t="str">
            <v>Fk x Ts2</v>
          </cell>
          <cell r="E66" t="str">
            <v xml:space="preserve">    Fk x Ts2</v>
          </cell>
          <cell r="L66" t="str">
            <v>PROP / KAB / KODYA</v>
          </cell>
          <cell r="O66" t="str">
            <v>:  Lampung Timur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L67" t="str">
            <v>ITEM PEMBAYARAN NO.</v>
          </cell>
          <cell r="O67" t="str">
            <v>:  2.2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Pasangan Batu Dengan Mortar</v>
          </cell>
        </row>
        <row r="69">
          <cell r="C69" t="str">
            <v>Koefisien Alat / M3</v>
          </cell>
          <cell r="D69" t="str">
            <v xml:space="preserve"> =  1  :  Q2</v>
          </cell>
          <cell r="G69" t="str">
            <v>-</v>
          </cell>
          <cell r="H69">
            <v>6.8400000000000002E-2</v>
          </cell>
          <cell r="I69" t="str">
            <v>Jam</v>
          </cell>
          <cell r="L69" t="str">
            <v>SATUAN PEMBAYARAN</v>
          </cell>
          <cell r="O69" t="str">
            <v>:  M3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  <cell r="Q70" t="str">
            <v>PERKIRAAN</v>
          </cell>
          <cell r="R70" t="str">
            <v>HARGA SATUAN</v>
          </cell>
          <cell r="S70" t="str">
            <v>JUMLAH HARGA</v>
          </cell>
        </row>
        <row r="71">
          <cell r="A71" t="str">
            <v>2.c.</v>
          </cell>
          <cell r="C71" t="str">
            <v>ALAT  BANTU</v>
          </cell>
          <cell r="G71" t="str">
            <v>v</v>
          </cell>
          <cell r="H71">
            <v>2</v>
          </cell>
          <cell r="I71" t="str">
            <v>KM/jam</v>
          </cell>
          <cell r="L71" t="str">
            <v>NO.</v>
          </cell>
          <cell r="N71" t="str">
            <v>KOMPONEN</v>
          </cell>
          <cell r="P71" t="str">
            <v>SATUAN</v>
          </cell>
          <cell r="Q71" t="str">
            <v>KUANTITAS</v>
          </cell>
          <cell r="R71" t="str">
            <v>(Rp.)</v>
          </cell>
          <cell r="S71" t="str">
            <v>(Rp.)</v>
          </cell>
        </row>
        <row r="72">
          <cell r="A72" t="str">
            <v>2.d.</v>
          </cell>
          <cell r="C72" t="str">
            <v>ALAT  BANTU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C73" t="str">
            <v>Diperlukan alat-alat bantu kecil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  <cell r="L73" t="str">
            <v>NO.</v>
          </cell>
          <cell r="N73" t="str">
            <v>KOMPONEN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C74" t="str">
            <v>- Sekop</v>
          </cell>
          <cell r="G74" t="str">
            <v>Fa</v>
          </cell>
          <cell r="H74">
            <v>0.83</v>
          </cell>
          <cell r="I74" t="str">
            <v>-</v>
          </cell>
          <cell r="L74" t="str">
            <v>A.</v>
          </cell>
          <cell r="N74" t="str">
            <v>TENAGA</v>
          </cell>
          <cell r="R74" t="str">
            <v>(Rp.)</v>
          </cell>
          <cell r="S74" t="str">
            <v>(Rp.)</v>
          </cell>
        </row>
        <row r="75">
          <cell r="C75" t="str">
            <v>- Keranjang + Sapu</v>
          </cell>
        </row>
        <row r="76">
          <cell r="A76" t="str">
            <v xml:space="preserve">   3.</v>
          </cell>
          <cell r="C76" t="str">
            <v>TENAGA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  <cell r="L76" t="str">
            <v>1.</v>
          </cell>
          <cell r="N76" t="str">
            <v>Pekerja</v>
          </cell>
          <cell r="O76" t="str">
            <v>(L01)</v>
          </cell>
          <cell r="P76" t="str">
            <v>Jam</v>
          </cell>
          <cell r="Q76">
            <v>9.4500000000000001E-2</v>
          </cell>
          <cell r="R76">
            <v>2500</v>
          </cell>
          <cell r="U76">
            <v>236.25</v>
          </cell>
        </row>
        <row r="77">
          <cell r="A77" t="str">
            <v xml:space="preserve">   3.</v>
          </cell>
          <cell r="C77" t="str">
            <v>TENAGA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  <cell r="L77" t="str">
            <v>A.</v>
          </cell>
          <cell r="N77" t="str">
            <v>TENAGA</v>
          </cell>
          <cell r="O77" t="str">
            <v>(L03)</v>
          </cell>
          <cell r="P77" t="str">
            <v>Jam</v>
          </cell>
          <cell r="Q77">
            <v>4.7199999999999999E-2</v>
          </cell>
          <cell r="R77">
            <v>3571.43</v>
          </cell>
          <cell r="U77">
            <v>168.57</v>
          </cell>
        </row>
        <row r="78">
          <cell r="C78" t="str">
            <v>Produksi menentukan : EXCAVATOR</v>
          </cell>
          <cell r="D78" t="str">
            <v xml:space="preserve"> =  1  :  Q2</v>
          </cell>
          <cell r="G78" t="str">
            <v>Q1</v>
          </cell>
          <cell r="H78">
            <v>28.730799999999999</v>
          </cell>
          <cell r="I78" t="str">
            <v>M3/Jam</v>
          </cell>
        </row>
        <row r="79">
          <cell r="C79" t="str">
            <v>Produksi Galian / hari  =  Tk x Q1</v>
          </cell>
          <cell r="G79" t="str">
            <v>Qt</v>
          </cell>
          <cell r="H79">
            <v>201.1156</v>
          </cell>
          <cell r="I79" t="str">
            <v>M3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17.5</v>
          </cell>
          <cell r="R79">
            <v>2500</v>
          </cell>
          <cell r="U79">
            <v>43750</v>
          </cell>
        </row>
        <row r="80">
          <cell r="A80" t="str">
            <v xml:space="preserve">   2.c.</v>
          </cell>
          <cell r="C80" t="str">
            <v>Kebutuhan tenaga :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  <cell r="L80" t="str">
            <v>2.</v>
          </cell>
          <cell r="N80" t="str">
            <v>Tukang</v>
          </cell>
          <cell r="O80" t="str">
            <v>(L02)</v>
          </cell>
          <cell r="P80" t="str">
            <v>jam</v>
          </cell>
          <cell r="Q80">
            <v>3.5</v>
          </cell>
          <cell r="R80">
            <v>3214.29</v>
          </cell>
          <cell r="U80">
            <v>11250.02</v>
          </cell>
        </row>
        <row r="81">
          <cell r="C81" t="str">
            <v>Diperlukan   :</v>
          </cell>
          <cell r="D81" t="str">
            <v>- Pekerja</v>
          </cell>
          <cell r="G81" t="str">
            <v>P</v>
          </cell>
          <cell r="H81">
            <v>4</v>
          </cell>
          <cell r="I81" t="str">
            <v>orang</v>
          </cell>
          <cell r="L81" t="str">
            <v>3.</v>
          </cell>
          <cell r="N81" t="str">
            <v>Mandor</v>
          </cell>
          <cell r="O81" t="str">
            <v>(L03)</v>
          </cell>
          <cell r="P81" t="str">
            <v>jam</v>
          </cell>
          <cell r="Q81">
            <v>1.75</v>
          </cell>
          <cell r="R81">
            <v>3571.43</v>
          </cell>
          <cell r="U81">
            <v>6250</v>
          </cell>
        </row>
        <row r="82">
          <cell r="C82" t="str">
            <v>- Kereta dorong</v>
          </cell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  <cell r="L82" t="str">
            <v>B.</v>
          </cell>
          <cell r="N82" t="str">
            <v>BAHAN</v>
          </cell>
        </row>
        <row r="83">
          <cell r="C83" t="str">
            <v>Koefisien tenaga / M3   :</v>
          </cell>
          <cell r="D83" t="str">
            <v>=  3  buah.</v>
          </cell>
          <cell r="Q83" t="str">
            <v xml:space="preserve">JUMLAH HARGA TENAGA   </v>
          </cell>
          <cell r="U83">
            <v>61250.020000000004</v>
          </cell>
        </row>
        <row r="84">
          <cell r="C84" t="str">
            <v>Koefisien tenaga / M3   :</v>
          </cell>
          <cell r="D84" t="str">
            <v>- Pekerja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  <cell r="L84" t="str">
            <v>1.</v>
          </cell>
        </row>
        <row r="85">
          <cell r="D85" t="str">
            <v>- Pekerja</v>
          </cell>
          <cell r="E85" t="str">
            <v>= (Tk x P) : Qt</v>
          </cell>
          <cell r="G85" t="str">
            <v>(L01)</v>
          </cell>
          <cell r="H85">
            <v>0.13919999999999999</v>
          </cell>
          <cell r="I85" t="str">
            <v>Jam</v>
          </cell>
          <cell r="L85" t="str">
            <v>B.</v>
          </cell>
          <cell r="N85" t="str">
            <v>BAHAN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HARGA DASAR SATUAN UPAH, BAHAN DAN ALAT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Batu</v>
          </cell>
          <cell r="O87" t="str">
            <v>(M06)</v>
          </cell>
          <cell r="P87" t="str">
            <v>M3</v>
          </cell>
          <cell r="Q87">
            <v>1.08</v>
          </cell>
          <cell r="R87">
            <v>54300</v>
          </cell>
          <cell r="U87">
            <v>58644</v>
          </cell>
        </row>
        <row r="88">
          <cell r="A88" t="str">
            <v>4.</v>
          </cell>
          <cell r="C88" t="str">
            <v>HARGA DASAR SATUAN UPAH, BAHAN DAN ALAT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Semen (PC)</v>
          </cell>
          <cell r="O88" t="str">
            <v>(M12)</v>
          </cell>
          <cell r="P88" t="str">
            <v>Kg</v>
          </cell>
          <cell r="Q88">
            <v>201.6</v>
          </cell>
          <cell r="R88">
            <v>600</v>
          </cell>
          <cell r="U88">
            <v>120960</v>
          </cell>
        </row>
        <row r="89">
          <cell r="C89" t="str">
            <v>Lihat lampiran.</v>
          </cell>
          <cell r="L89" t="str">
            <v>3.</v>
          </cell>
          <cell r="N89" t="str">
            <v>Pasir</v>
          </cell>
          <cell r="O89" t="str">
            <v>(M01)</v>
          </cell>
          <cell r="P89" t="str">
            <v>M3</v>
          </cell>
          <cell r="Q89">
            <v>0.45269999999999999</v>
          </cell>
          <cell r="R89">
            <v>48500</v>
          </cell>
          <cell r="U89">
            <v>21955.95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  <cell r="Q90" t="str">
            <v xml:space="preserve">JUMLAH HARGA BAHAN   </v>
          </cell>
          <cell r="U90">
            <v>0</v>
          </cell>
        </row>
        <row r="91">
          <cell r="A91" t="str">
            <v>5.</v>
          </cell>
          <cell r="C91" t="str">
            <v>ANALISA HARGA SATUAN PEKERJAAN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Lihat perhitungan dalam FORMULIR STANDAR UNTUK</v>
          </cell>
          <cell r="L92" t="str">
            <v>C.</v>
          </cell>
          <cell r="N92" t="str">
            <v>PERALATAN</v>
          </cell>
        </row>
        <row r="93">
          <cell r="C93" t="str">
            <v>PEREKEMAN ANALISA MASING-MASING HARGA</v>
          </cell>
          <cell r="L93" t="str">
            <v>1.</v>
          </cell>
          <cell r="N93" t="str">
            <v>Excavator</v>
          </cell>
          <cell r="O93" t="str">
            <v>(E10)</v>
          </cell>
          <cell r="P93" t="str">
            <v>Jam</v>
          </cell>
          <cell r="Q93">
            <v>4.7199999999999999E-2</v>
          </cell>
          <cell r="R93">
            <v>251051.43</v>
          </cell>
          <cell r="U93">
            <v>11849.63</v>
          </cell>
        </row>
        <row r="94">
          <cell r="C94" t="str">
            <v>SATUAN.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L94" t="str">
            <v>2.</v>
          </cell>
          <cell r="N94" t="str">
            <v>Bulldozer</v>
          </cell>
          <cell r="O94" t="str">
            <v>(E04)</v>
          </cell>
          <cell r="P94" t="str">
            <v>Jam</v>
          </cell>
          <cell r="Q94" t="str">
            <v xml:space="preserve">JUMLAH HARGA BAHAN   </v>
          </cell>
          <cell r="R94">
            <v>178010.43</v>
          </cell>
          <cell r="U94">
            <v>201559.95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Alat  bantu</v>
          </cell>
          <cell r="P95" t="str">
            <v>Ls</v>
          </cell>
          <cell r="Q95">
            <v>1</v>
          </cell>
          <cell r="R95">
            <v>750</v>
          </cell>
          <cell r="U95">
            <v>750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  <cell r="L96" t="str">
            <v>C.</v>
          </cell>
          <cell r="N96" t="str">
            <v>PERALATAN</v>
          </cell>
        </row>
        <row r="97">
          <cell r="A97" t="str">
            <v>4.</v>
          </cell>
          <cell r="C97" t="str">
            <v xml:space="preserve">Rp.  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  <cell r="L98" t="str">
            <v>1.</v>
          </cell>
          <cell r="N98" t="str">
            <v>Alat Bantu</v>
          </cell>
          <cell r="P98" t="str">
            <v>Ls</v>
          </cell>
          <cell r="Q98">
            <v>1</v>
          </cell>
          <cell r="R98">
            <v>2500</v>
          </cell>
          <cell r="U98">
            <v>2500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Q101" t="str">
            <v xml:space="preserve">JUMLAH HARGA PERALATAN   </v>
          </cell>
          <cell r="U101">
            <v>15714.81</v>
          </cell>
        </row>
        <row r="102">
          <cell r="C102" t="str">
            <v>PEREKAMAN ANALISA MASING-MASING HARGA</v>
          </cell>
          <cell r="L102" t="str">
            <v>D.</v>
          </cell>
          <cell r="N102" t="str">
            <v>JUMLAH HARGA TENAGA, BAHAN DAN PERALATAN  ( A + B + C )</v>
          </cell>
          <cell r="U102">
            <v>16119.63</v>
          </cell>
        </row>
        <row r="103">
          <cell r="C103" t="str">
            <v>SATUAN.</v>
          </cell>
          <cell r="L103" t="str">
            <v>E.</v>
          </cell>
          <cell r="N103" t="str">
            <v>OVERHEAD &amp; PROFIT</v>
          </cell>
          <cell r="P103">
            <v>10</v>
          </cell>
          <cell r="Q103" t="str">
            <v>%  x  D</v>
          </cell>
          <cell r="U103">
            <v>1611.96</v>
          </cell>
        </row>
        <row r="104">
          <cell r="C104" t="str">
            <v>Didapat Harga Satuan Pekerjaan :</v>
          </cell>
          <cell r="L104" t="str">
            <v>F.</v>
          </cell>
          <cell r="N104" t="str">
            <v>HARGA SATUAN PEKERJAAN  ( D + E )</v>
          </cell>
          <cell r="Q104" t="str">
            <v xml:space="preserve">JUMLAH HARGA PERALATAN   </v>
          </cell>
          <cell r="U104">
            <v>2500</v>
          </cell>
        </row>
        <row r="105">
          <cell r="L105" t="str">
            <v>D.</v>
          </cell>
          <cell r="N105" t="str">
            <v>JUMLAH HARGA TENAGA, BAHAN DAN PERALATAN  ( A + B + C )</v>
          </cell>
          <cell r="U105">
            <v>265309.97000000003</v>
          </cell>
        </row>
        <row r="106">
          <cell r="L106" t="str">
            <v>E.</v>
          </cell>
          <cell r="N106" t="str">
            <v>OVERHEAD &amp; PROFIT</v>
          </cell>
          <cell r="P106">
            <v>10</v>
          </cell>
          <cell r="Q106" t="str">
            <v>%  x  D</v>
          </cell>
          <cell r="U106">
            <v>26531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 t="str">
            <v>F.</v>
          </cell>
          <cell r="N107" t="str">
            <v>HARGA SATUAN PEKERJAAN  ( D + E )</v>
          </cell>
          <cell r="U107">
            <v>291840.97000000003</v>
          </cell>
        </row>
        <row r="108">
          <cell r="L108">
            <v>4</v>
          </cell>
          <cell r="N108" t="str">
            <v>Biaya satuan sudah termasuk pengeluaran untuk seluruh pajak yang berkaitan (tetapi tidak termasuk PPN yang dibayar dari kontrak )</v>
          </cell>
        </row>
        <row r="109">
          <cell r="L109" t="str">
            <v>Note: 1</v>
          </cell>
          <cell r="N109" t="str">
            <v>SATUAN dapat berdasarkan atas jam operasi untuk Tenaga Kerja dan Peralatan, volume dan/atau ukuran berat untuk bahan-bahan</v>
          </cell>
        </row>
        <row r="110">
          <cell r="L110">
            <v>2</v>
          </cell>
          <cell r="N110" t="str">
            <v>Kuantitas satuan adalah kuantitas setiap komponen untuk menyelesaikan satu satuan pekerjaan dari nomor mata pembayaran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3</v>
          </cell>
          <cell r="N111" t="str">
            <v>Biaya satuan untuk peralatan sudah termasuk bahan bakar, bahan habis dipakai dan operator.</v>
          </cell>
          <cell r="T111" t="str">
            <v>Analisa EI-315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4</v>
          </cell>
          <cell r="N112" t="str">
            <v>Biaya satuan sudah termasuk pengeluaran untuk seluruh pajak yang berkaitan (tetapi tidak termasuk PPN yang dibayar dari kontrak )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 t="str">
            <v>FORMULIR STANDAR UNTUK</v>
          </cell>
          <cell r="N113" t="str">
            <v>dan biaya-biaya lainnya.</v>
          </cell>
        </row>
        <row r="115">
          <cell r="A115" t="str">
            <v>ITEM PEMBAYARAN NO.</v>
          </cell>
          <cell r="D115" t="str">
            <v>:  2.2</v>
          </cell>
          <cell r="J115" t="str">
            <v xml:space="preserve">Analisa LI-22 </v>
          </cell>
        </row>
        <row r="116">
          <cell r="A116" t="str">
            <v>JENIS PEKERJAAN</v>
          </cell>
          <cell r="C116" t="str">
            <v>U R A I A N</v>
          </cell>
          <cell r="D116" t="str">
            <v>:  Pasangan Batu Dengan Mortar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KETERANGAN</v>
          </cell>
        </row>
        <row r="117">
          <cell r="A117" t="str">
            <v>SATUAN PEMBAYARAN</v>
          </cell>
          <cell r="D117" t="str">
            <v>:  M3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 t="str">
            <v>No.</v>
          </cell>
          <cell r="C120" t="str">
            <v>U R A I A N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>
            <v>2</v>
          </cell>
          <cell r="C121" t="str">
            <v>Lokasi pekerjaan : sekitar jembatan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 t="str">
            <v>I.</v>
          </cell>
          <cell r="C123" t="str">
            <v>ASUMSI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>
            <v>1</v>
          </cell>
          <cell r="C124" t="str">
            <v>Menggunakan buruh (cara manual)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2</v>
          </cell>
          <cell r="C125" t="str">
            <v>Lokasi pekerjaan :  Sekitar Jembatan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>
            <v>4</v>
          </cell>
          <cell r="C127" t="str">
            <v>Jarak rata-rata Base camp ke lokasi pekerjaan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5</v>
          </cell>
          <cell r="C128" t="str">
            <v>Jam kerja efektif per-hari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6</v>
          </cell>
          <cell r="C129" t="str">
            <v>Perbandingan Pasir &amp; Semen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A130">
            <v>3</v>
          </cell>
          <cell r="C130" t="str">
            <v>Bulldozer mengangkut/mengusur hasil galian ke tempat</v>
          </cell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Perbandingan Batu &amp; Mortar  :</v>
          </cell>
          <cell r="G131" t="str">
            <v>L</v>
          </cell>
          <cell r="H131">
            <v>7.4999999999999997E-2</v>
          </cell>
          <cell r="I131" t="str">
            <v>Km</v>
          </cell>
        </row>
        <row r="132">
          <cell r="A132">
            <v>8</v>
          </cell>
          <cell r="C132" t="str">
            <v>- Batu</v>
          </cell>
          <cell r="D132" t="str">
            <v>- Pasir urug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A133" t="str">
            <v>III.</v>
          </cell>
          <cell r="C133" t="str">
            <v>- Mortar (campuran semen &amp; pasir)</v>
          </cell>
          <cell r="D133" t="str">
            <v>- Batu pecah 10/15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 xml:space="preserve">   1.</v>
          </cell>
          <cell r="C135" t="str">
            <v>- Pasangan Batu Dengan Mortar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>- Batu</v>
          </cell>
          <cell r="E136" t="str">
            <v>= Uk x 1M3</v>
          </cell>
          <cell r="G136" t="str">
            <v>D2</v>
          </cell>
          <cell r="H136">
            <v>1.6</v>
          </cell>
          <cell r="I136" t="str">
            <v>ton/M3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 t="str">
            <v xml:space="preserve">   2.</v>
          </cell>
          <cell r="C138" t="str">
            <v>- Pasir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- Semen Portland</v>
          </cell>
          <cell r="G139" t="str">
            <v>D5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Faktor kehilangan bahan   :</v>
          </cell>
          <cell r="E140" t="str">
            <v>- Batu</v>
          </cell>
          <cell r="G140" t="str">
            <v>Fh1</v>
          </cell>
          <cell r="H140">
            <v>1.2</v>
          </cell>
          <cell r="I140" t="str">
            <v>-</v>
          </cell>
        </row>
        <row r="141">
          <cell r="C141" t="str">
            <v>Faktor Bucket</v>
          </cell>
          <cell r="E141" t="str">
            <v>- Pasir / Semen</v>
          </cell>
          <cell r="G141" t="str">
            <v>Fh2</v>
          </cell>
          <cell r="H141">
            <v>1.05</v>
          </cell>
          <cell r="I141" t="str">
            <v>-</v>
          </cell>
        </row>
        <row r="142">
          <cell r="A142" t="str">
            <v>II.</v>
          </cell>
          <cell r="C142" t="str">
            <v>URUTAN KERJA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1</v>
          </cell>
          <cell r="C143" t="str">
            <v>Semen, pasir dan air dicampur dan diaduk menjadi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mortar dengan menggunakan alat bantu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>
            <v>2</v>
          </cell>
          <cell r="C145" t="str">
            <v>Batu dibersihkan dan dibasahi seluruh permukaannya -</v>
          </cell>
        </row>
        <row r="146">
          <cell r="C146" t="str">
            <v>sebelum dipasang.</v>
          </cell>
          <cell r="D146" t="str">
            <v>=  Ak x 1 M3 x Fk</v>
          </cell>
          <cell r="G146" t="str">
            <v>Te1</v>
          </cell>
          <cell r="H146">
            <v>0.3</v>
          </cell>
          <cell r="I146" t="str">
            <v>menit</v>
          </cell>
        </row>
        <row r="147">
          <cell r="A147">
            <v>3</v>
          </cell>
          <cell r="C147" t="str">
            <v>Penyelesaian dan perapihan setelah pemasangan</v>
          </cell>
          <cell r="D147" t="str">
            <v>=  Ah x 1 M3 x Fk</v>
          </cell>
          <cell r="G147" t="str">
            <v>Te2</v>
          </cell>
          <cell r="H147">
            <v>0.3</v>
          </cell>
          <cell r="I147" t="str">
            <v>menit</v>
          </cell>
        </row>
        <row r="148">
          <cell r="A148" t="str">
            <v>III.</v>
          </cell>
          <cell r="C148" t="str">
            <v>PEMAKAIAN BAHAN, ALAT DAN TENAGA</v>
          </cell>
          <cell r="D148" t="str">
            <v>=  St x 1 M3 x Fk</v>
          </cell>
          <cell r="G148" t="str">
            <v>Te</v>
          </cell>
          <cell r="H148">
            <v>0.6</v>
          </cell>
          <cell r="I148" t="str">
            <v>menit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1.</v>
          </cell>
          <cell r="C150" t="str">
            <v>BAHAN</v>
          </cell>
          <cell r="D150" t="str">
            <v>V  x Fb x Fa x Fd x Bim x 60</v>
          </cell>
          <cell r="G150" t="str">
            <v>Q1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Batu     -----&gt;</v>
          </cell>
          <cell r="D151" t="str">
            <v>{(Bt x D1 x 1 M3) : D2} x Fh1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C153" t="str">
            <v>Koefisien Alat / M3</v>
          </cell>
          <cell r="D153" t="str">
            <v>x {D5 x (1000)}</v>
          </cell>
          <cell r="G153" t="str">
            <v>(M12)</v>
          </cell>
          <cell r="H153">
            <v>201.6</v>
          </cell>
          <cell r="I153" t="str">
            <v>Kg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5">
          <cell r="A155" t="str">
            <v>2.b.</v>
          </cell>
          <cell r="C155" t="str">
            <v>BULLDOZER</v>
          </cell>
          <cell r="G155" t="str">
            <v>(E04)</v>
          </cell>
        </row>
        <row r="156">
          <cell r="A156" t="str">
            <v>2.</v>
          </cell>
          <cell r="C156" t="str">
            <v>ALAT</v>
          </cell>
          <cell r="G156" t="str">
            <v>Fb</v>
          </cell>
          <cell r="H156">
            <v>0.9</v>
          </cell>
          <cell r="I156" t="str">
            <v>-</v>
          </cell>
        </row>
        <row r="157">
          <cell r="A157" t="str">
            <v>2.a.</v>
          </cell>
          <cell r="C157" t="str">
            <v>ALAT BANTU</v>
          </cell>
          <cell r="G157" t="str">
            <v>Fa</v>
          </cell>
          <cell r="H157">
            <v>0.83</v>
          </cell>
          <cell r="I157" t="str">
            <v>-</v>
          </cell>
        </row>
        <row r="158">
          <cell r="C158" t="str">
            <v>Diperlukan  :</v>
          </cell>
          <cell r="G158" t="str">
            <v>F</v>
          </cell>
          <cell r="H158">
            <v>3</v>
          </cell>
          <cell r="I158" t="str">
            <v>Km/Jam</v>
          </cell>
        </row>
        <row r="159">
          <cell r="C159" t="str">
            <v>- Sekop</v>
          </cell>
          <cell r="D159" t="str">
            <v>=  2  buah</v>
          </cell>
          <cell r="G159" t="str">
            <v>R</v>
          </cell>
          <cell r="H159">
            <v>4</v>
          </cell>
          <cell r="I159" t="str">
            <v>Km/Jam</v>
          </cell>
        </row>
        <row r="160">
          <cell r="C160" t="str">
            <v>- Pacul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- Sendok Semen</v>
          </cell>
          <cell r="D161" t="str">
            <v>=  2  buah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- Ember Cor</v>
          </cell>
          <cell r="D162" t="str">
            <v>=  4  buah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- Gerobak Dorong</v>
          </cell>
          <cell r="D163" t="str">
            <v>=  1  buah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>3.</v>
          </cell>
          <cell r="C165" t="str">
            <v>TENAGA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>Produksi Pasangan Batu dengan Mortar dalam 1 hari</v>
          </cell>
          <cell r="D166" t="str">
            <v>:  3.1 (3)</v>
          </cell>
          <cell r="G166" t="str">
            <v>Qt</v>
          </cell>
          <cell r="H166">
            <v>4</v>
          </cell>
          <cell r="I166" t="str">
            <v>M3</v>
          </cell>
          <cell r="J166" t="str">
            <v>Analisa EI-314</v>
          </cell>
          <cell r="T166" t="str">
            <v>Analisa EI-321</v>
          </cell>
        </row>
        <row r="167">
          <cell r="A167" t="str">
            <v>JENIS PEKERJAAN</v>
          </cell>
          <cell r="C167" t="str">
            <v>Kebutuhan tenaga :</v>
          </cell>
          <cell r="D167" t="str">
            <v>- Mandor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A168" t="str">
            <v>SATUAN PEMBAYARAN</v>
          </cell>
          <cell r="D168" t="str">
            <v>- Tukang Batu</v>
          </cell>
          <cell r="G168" t="str">
            <v>Tb</v>
          </cell>
          <cell r="H168">
            <v>2</v>
          </cell>
          <cell r="I168" t="str">
            <v>orang</v>
          </cell>
          <cell r="L168" t="str">
            <v>FORMULIR STANDAR UNTUK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  <cell r="J169" t="str">
            <v>Lanjutan</v>
          </cell>
          <cell r="L169" t="str">
            <v>PEREKAMAN ANALISA MASING-MASING HARGA SATUAN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Berlanjut ke halaman berikut</v>
          </cell>
          <cell r="L171" t="str">
            <v>PROYEK</v>
          </cell>
          <cell r="O171" t="str">
            <v>:  Peningkatan Jalan dan Jembatan Wilayah Barat</v>
          </cell>
        </row>
        <row r="172">
          <cell r="A172" t="str">
            <v>ITEM PEMBAYARAN NO.</v>
          </cell>
          <cell r="D172" t="str">
            <v>:  2.2</v>
          </cell>
          <cell r="J172" t="str">
            <v xml:space="preserve">Analisa LI-22 </v>
          </cell>
          <cell r="L172" t="str">
            <v>No. PAKET KONTRAK</v>
          </cell>
          <cell r="O172" t="str">
            <v xml:space="preserve">: </v>
          </cell>
        </row>
        <row r="173">
          <cell r="A173" t="str">
            <v>JENIS PEKERJAAN</v>
          </cell>
          <cell r="D173" t="str">
            <v>:  Pasangan Batu Dengan Mortar</v>
          </cell>
          <cell r="J173" t="str">
            <v>Analisa El-85</v>
          </cell>
          <cell r="L173" t="str">
            <v>PEKERJAAN</v>
          </cell>
          <cell r="O173" t="str">
            <v>:  Pembangunan Jembatan Beton Tersebar di Wilayah Barat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M3</v>
          </cell>
          <cell r="J174" t="str">
            <v xml:space="preserve">         URAIAN ANALISA HARGA SATUAN</v>
          </cell>
          <cell r="L174" t="str">
            <v>KABUPATEN</v>
          </cell>
          <cell r="O174" t="str">
            <v>:  Lampung Timur</v>
          </cell>
        </row>
        <row r="175">
          <cell r="A175" t="str">
            <v>SATUAN PEMBAYARAN</v>
          </cell>
          <cell r="C175" t="str">
            <v>- Maju</v>
          </cell>
          <cell r="D175" t="str">
            <v>= (L x 60) / (F x 1000)</v>
          </cell>
          <cell r="G175" t="str">
            <v>Tb1</v>
          </cell>
          <cell r="H175">
            <v>1.5</v>
          </cell>
          <cell r="I175" t="str">
            <v>menit</v>
          </cell>
          <cell r="J175" t="str">
            <v>Lanjutan</v>
          </cell>
          <cell r="L175" t="str">
            <v>ITEM PEMBAYARAN NO.</v>
          </cell>
          <cell r="O175" t="str">
            <v>:  3.2 (1)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 t="str">
            <v>JENIS PEKERJAAN</v>
          </cell>
          <cell r="O176" t="str">
            <v>:  Urugan Biasa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  <cell r="L177" t="str">
            <v>SATUAN PEMBAYARAN</v>
          </cell>
          <cell r="O177" t="str">
            <v>:  M3</v>
          </cell>
        </row>
        <row r="178">
          <cell r="A178" t="str">
            <v>No.</v>
          </cell>
          <cell r="C178" t="str">
            <v>U R A I A N</v>
          </cell>
          <cell r="G178" t="str">
            <v>Tb</v>
          </cell>
          <cell r="H178">
            <v>2.8250000000000002</v>
          </cell>
          <cell r="I178" t="str">
            <v>menit</v>
          </cell>
          <cell r="J178" t="str">
            <v>KETERANGAN</v>
          </cell>
        </row>
        <row r="180"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  <cell r="Q180" t="str">
            <v>PERKIRAAN</v>
          </cell>
          <cell r="R180" t="str">
            <v>HARGA SATUAN</v>
          </cell>
          <cell r="S180" t="str">
            <v>JUMLAH HARGA</v>
          </cell>
        </row>
        <row r="181">
          <cell r="C181" t="str">
            <v>Koefisien Tenaga / M3   :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NO.</v>
          </cell>
          <cell r="N181" t="str">
            <v>KOMPONEN</v>
          </cell>
          <cell r="P181" t="str">
            <v>SATUAN</v>
          </cell>
          <cell r="Q181" t="str">
            <v>KUANTITAS</v>
          </cell>
          <cell r="R181" t="str">
            <v>(Rp.)</v>
          </cell>
          <cell r="S181" t="str">
            <v>(Rp.)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>-  Tukang</v>
          </cell>
          <cell r="E183" t="str">
            <v>= (Tk x Tb) : Qt</v>
          </cell>
          <cell r="G183" t="str">
            <v>(L02)</v>
          </cell>
          <cell r="H183">
            <v>3.5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  <cell r="L184" t="str">
            <v>A.</v>
          </cell>
          <cell r="N184" t="str">
            <v>TENAGA</v>
          </cell>
        </row>
        <row r="186">
          <cell r="A186" t="str">
            <v>4.</v>
          </cell>
          <cell r="C186" t="str">
            <v>HARGA DASAR SATUAN UPAH, BAHAN DAN ALAT</v>
          </cell>
          <cell r="G186" t="str">
            <v>(E16 )</v>
          </cell>
          <cell r="L186" t="str">
            <v>1.</v>
          </cell>
          <cell r="N186" t="str">
            <v>Pekerja</v>
          </cell>
          <cell r="O186" t="str">
            <v>(L01)</v>
          </cell>
          <cell r="P186" t="str">
            <v>Jam</v>
          </cell>
          <cell r="Q186">
            <v>5.7099999999999998E-2</v>
          </cell>
          <cell r="R186">
            <v>2500</v>
          </cell>
          <cell r="U186">
            <v>142.75</v>
          </cell>
        </row>
        <row r="187">
          <cell r="C187" t="str">
            <v>Lihat lampiran.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2.</v>
          </cell>
          <cell r="N187" t="str">
            <v>Mandor</v>
          </cell>
          <cell r="O187" t="str">
            <v>(L03)</v>
          </cell>
          <cell r="P187" t="str">
            <v>Jam</v>
          </cell>
          <cell r="Q187">
            <v>1.43E-2</v>
          </cell>
          <cell r="R187">
            <v>3571.43</v>
          </cell>
          <cell r="U187">
            <v>51.07</v>
          </cell>
        </row>
        <row r="188">
          <cell r="C188" t="str">
            <v>- Pacul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ANALISA HARGA SATUAN PEKERJAAN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Lihat perhitungan dalam FORMULIR STANDAR UNTUK</v>
          </cell>
          <cell r="G190" t="str">
            <v>Fa</v>
          </cell>
          <cell r="H190">
            <v>0.83</v>
          </cell>
          <cell r="I190" t="str">
            <v>-</v>
          </cell>
          <cell r="Q190" t="str">
            <v xml:space="preserve">JUMLAH HARGA TENAGA   </v>
          </cell>
          <cell r="U190">
            <v>193.82</v>
          </cell>
        </row>
        <row r="191">
          <cell r="C191" t="str">
            <v>PEREKEMAN ANALISA MASING-MASING HARGA</v>
          </cell>
        </row>
        <row r="192">
          <cell r="A192" t="str">
            <v xml:space="preserve">   3.</v>
          </cell>
          <cell r="C192" t="str">
            <v>SATUAN.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  <cell r="L192" t="str">
            <v>B.</v>
          </cell>
          <cell r="N192" t="str">
            <v>BAHAN</v>
          </cell>
        </row>
        <row r="193">
          <cell r="C193" t="str">
            <v>Didapat Harga Satuan Pekerjaan :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Produksi Galian / hari  =  Tk x Q1</v>
          </cell>
          <cell r="D194" t="str">
            <v xml:space="preserve"> =  1  :  Q2</v>
          </cell>
          <cell r="G194" t="str">
            <v>Qt</v>
          </cell>
          <cell r="H194">
            <v>148.16</v>
          </cell>
          <cell r="I194" t="str">
            <v>M3</v>
          </cell>
          <cell r="L194" t="str">
            <v>1.</v>
          </cell>
          <cell r="N194" t="str">
            <v>Material timbunan (M08)</v>
          </cell>
          <cell r="P194" t="str">
            <v>M3</v>
          </cell>
          <cell r="Q194">
            <v>1.2</v>
          </cell>
          <cell r="R194">
            <v>5000</v>
          </cell>
          <cell r="U194">
            <v>6000</v>
          </cell>
        </row>
        <row r="195">
          <cell r="C195" t="str">
            <v xml:space="preserve">Rp.  </v>
          </cell>
          <cell r="D195">
            <v>291840.97000000003</v>
          </cell>
          <cell r="E195" t="str">
            <v xml:space="preserve"> / M3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C198" t="str">
            <v>- Kereta dorong</v>
          </cell>
          <cell r="D198" t="str">
            <v>=  2  buah.</v>
          </cell>
        </row>
        <row r="199">
          <cell r="C199" t="str">
            <v>Koefisien tenaga / M3   :</v>
          </cell>
          <cell r="D199" t="str">
            <v>=  3  buah.</v>
          </cell>
        </row>
        <row r="200">
          <cell r="C200" t="str">
            <v>- Garpu</v>
          </cell>
          <cell r="D200" t="str">
            <v>- Pekerja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Q201" t="str">
            <v xml:space="preserve">JUMLAH HARGA BAHAN   </v>
          </cell>
          <cell r="U201">
            <v>6000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HARGA DASAR SATUAN UPAH, BAHAN DAN ALAT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C.</v>
          </cell>
          <cell r="N203" t="str">
            <v>PERALATAN</v>
          </cell>
        </row>
        <row r="204">
          <cell r="C204" t="str">
            <v>Lihat lampiran.</v>
          </cell>
          <cell r="G204" t="str">
            <v>Qt</v>
          </cell>
          <cell r="H204">
            <v>261.45</v>
          </cell>
          <cell r="I204" t="str">
            <v>M3</v>
          </cell>
          <cell r="L204" t="str">
            <v>1.</v>
          </cell>
          <cell r="N204" t="str">
            <v>Whell  Loader</v>
          </cell>
          <cell r="O204" t="str">
            <v>(E15)</v>
          </cell>
          <cell r="P204" t="str">
            <v>Jam</v>
          </cell>
          <cell r="Q204">
            <v>1.43E-2</v>
          </cell>
          <cell r="R204">
            <v>143049.93</v>
          </cell>
          <cell r="U204">
            <v>2045.61</v>
          </cell>
        </row>
        <row r="205">
          <cell r="C205" t="str">
            <v>Kebutuhan tenaga :</v>
          </cell>
          <cell r="L205" t="str">
            <v>2.</v>
          </cell>
          <cell r="N205" t="str">
            <v>Dump Truck</v>
          </cell>
          <cell r="O205" t="str">
            <v>(E08)</v>
          </cell>
          <cell r="P205" t="str">
            <v>Jam</v>
          </cell>
          <cell r="Q205">
            <v>3.3099999999999997E-2</v>
          </cell>
          <cell r="R205">
            <v>82267.929999999993</v>
          </cell>
          <cell r="U205">
            <v>2723.07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3.</v>
          </cell>
          <cell r="N206" t="str">
            <v>Motor Grader</v>
          </cell>
          <cell r="O206" t="str">
            <v>(E13)</v>
          </cell>
          <cell r="P206" t="str">
            <v>Jam</v>
          </cell>
          <cell r="Q206">
            <v>1.17E-2</v>
          </cell>
          <cell r="R206">
            <v>182896.93</v>
          </cell>
          <cell r="U206">
            <v>2139.89</v>
          </cell>
        </row>
        <row r="207">
          <cell r="C207" t="str">
            <v>Lihat perhitungan dalam FORMULIR STANDAR UNTUK</v>
          </cell>
          <cell r="D207" t="str">
            <v>- Mandor</v>
          </cell>
          <cell r="G207" t="str">
            <v>M</v>
          </cell>
          <cell r="H207">
            <v>5</v>
          </cell>
          <cell r="I207" t="str">
            <v>orang</v>
          </cell>
          <cell r="L207" t="str">
            <v>3.</v>
          </cell>
          <cell r="N207" t="str">
            <v>Vibro Roller</v>
          </cell>
          <cell r="O207" t="str">
            <v>(E19)</v>
          </cell>
          <cell r="P207" t="str">
            <v>Jam</v>
          </cell>
          <cell r="Q207">
            <v>2.1399999999999999E-2</v>
          </cell>
          <cell r="R207">
            <v>106334.43</v>
          </cell>
          <cell r="U207">
            <v>2275.56</v>
          </cell>
        </row>
        <row r="208">
          <cell r="C208" t="str">
            <v>PEREKEMAN ANALISA MASING-MASING HARGA</v>
          </cell>
          <cell r="L208" t="str">
            <v>4.</v>
          </cell>
          <cell r="N208" t="str">
            <v>Water Tanker</v>
          </cell>
          <cell r="O208" t="str">
            <v>(E23)</v>
          </cell>
          <cell r="P208" t="str">
            <v>Jam</v>
          </cell>
          <cell r="Q208">
            <v>2.1100000000000001E-2</v>
          </cell>
          <cell r="R208">
            <v>82267.929999999993</v>
          </cell>
          <cell r="U208">
            <v>1735.85</v>
          </cell>
        </row>
        <row r="209">
          <cell r="C209" t="str">
            <v>SATUAN.</v>
          </cell>
          <cell r="L209" t="str">
            <v>5.</v>
          </cell>
          <cell r="N209" t="str">
            <v>Alat  Bantu</v>
          </cell>
          <cell r="P209" t="str">
            <v>Ls</v>
          </cell>
          <cell r="Q209">
            <v>1</v>
          </cell>
          <cell r="R209">
            <v>1000</v>
          </cell>
          <cell r="U209">
            <v>1000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  <cell r="Q212" t="str">
            <v xml:space="preserve">JUMLAH HARGA PERALATAN   </v>
          </cell>
          <cell r="U212">
            <v>11919.98</v>
          </cell>
        </row>
        <row r="213">
          <cell r="A213" t="str">
            <v>4.</v>
          </cell>
          <cell r="C213" t="str">
            <v>HARGA DASAR SATUAN UPAH, BAHAN DAN ALAT</v>
          </cell>
          <cell r="L213" t="str">
            <v>D.</v>
          </cell>
          <cell r="N213" t="str">
            <v>JUMLAH HARGA TENAGA, BAHAN DAN PERALATAN  ( A + B + C )</v>
          </cell>
          <cell r="U213">
            <v>18113.8</v>
          </cell>
        </row>
        <row r="214">
          <cell r="C214" t="str">
            <v>Lihat lampiran.</v>
          </cell>
          <cell r="L214" t="str">
            <v>E.</v>
          </cell>
          <cell r="N214" t="str">
            <v>OVERHEAD &amp; PROFIT</v>
          </cell>
          <cell r="P214">
            <v>10</v>
          </cell>
          <cell r="Q214" t="str">
            <v>%  x  D</v>
          </cell>
          <cell r="U214">
            <v>1811.38</v>
          </cell>
        </row>
        <row r="215">
          <cell r="L215" t="str">
            <v>F.</v>
          </cell>
          <cell r="N215" t="str">
            <v>HARGA SATUAN PEKERJAAN  ( D + E )</v>
          </cell>
          <cell r="U215">
            <v>19925.18</v>
          </cell>
        </row>
        <row r="216">
          <cell r="A216" t="str">
            <v>5.</v>
          </cell>
          <cell r="C216" t="str">
            <v>ANALISA HARGA SATUAN PEKERJAAN</v>
          </cell>
          <cell r="L216" t="str">
            <v>Note: 1</v>
          </cell>
          <cell r="N216" t="str">
            <v>SATUAN dapat berdasarkan atas jam operasi untuk Tenaga Kerja dan Peralatan, volume dan/atau ukuran berat untuk bahan-bahan</v>
          </cell>
        </row>
        <row r="217">
          <cell r="C217" t="str">
            <v>Lihat perhitungan dalam FORMULIR STANDAR UNTUK</v>
          </cell>
          <cell r="L217">
            <v>2</v>
          </cell>
          <cell r="N217" t="str">
            <v>Kuantitas satuan adalah kuantitas setiap komponen untuk menyelesaikan satu satuan pekerjaan dari nomor mata pembayaran</v>
          </cell>
        </row>
        <row r="218">
          <cell r="C218" t="str">
            <v>PEREKAMAN ANALISA MASING-MASING HARGA</v>
          </cell>
          <cell r="L218">
            <v>3</v>
          </cell>
          <cell r="N218" t="str">
            <v>Biaya satuan untuk peralatan sudah termasuk bahan bakar, bahan habis dipakai dan operator.</v>
          </cell>
        </row>
        <row r="219">
          <cell r="C219" t="str">
            <v>SATUAN.</v>
          </cell>
          <cell r="L219">
            <v>4</v>
          </cell>
          <cell r="N219" t="str">
            <v>Biaya satuan sudah termasuk pengeluaran untuk seluruh pajak yang berkaitan (tetapi tidak termasuk PPN yang dibayar dari kontrak )</v>
          </cell>
        </row>
        <row r="220">
          <cell r="N220" t="str">
            <v>dan biaya-biaya lainnya.</v>
          </cell>
        </row>
        <row r="221">
          <cell r="A221" t="str">
            <v>ITEM PEMBAYARAN NO.</v>
          </cell>
          <cell r="C221" t="str">
            <v>Rp.</v>
          </cell>
          <cell r="D221" t="str">
            <v>:  3.1 (5)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</sheetData>
      <sheetData sheetId="9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</row>
        <row r="5">
          <cell r="F5" t="str">
            <v>ALAT</v>
          </cell>
          <cell r="G5" t="str">
            <v>ALAT</v>
          </cell>
          <cell r="I5" t="str">
            <v>ALAT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</row>
        <row r="7">
          <cell r="J7" t="str">
            <v>ALAT</v>
          </cell>
          <cell r="L7" t="str">
            <v>PROYEK</v>
          </cell>
          <cell r="N7" t="str">
            <v>MODAL</v>
          </cell>
          <cell r="O7" t="str">
            <v>:  Peningkatan Jalan dan Jembatan Wilayah Barat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</row>
        <row r="8">
          <cell r="L8" t="str">
            <v>No. PAKET KONTRAK</v>
          </cell>
          <cell r="O8" t="str">
            <v xml:space="preserve">: </v>
          </cell>
        </row>
        <row r="9">
          <cell r="A9" t="str">
            <v>I.</v>
          </cell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L9" t="str">
            <v>NAMA PAKET</v>
          </cell>
          <cell r="M9" t="str">
            <v>(Rp.)</v>
          </cell>
          <cell r="N9" t="str">
            <v>-</v>
          </cell>
          <cell r="O9" t="str">
            <v>:  Pembangunan Jembatan Beton Tersebar di Wilayah Barat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</row>
        <row r="10">
          <cell r="A10">
            <v>1</v>
          </cell>
          <cell r="B10" t="str">
            <v>No.</v>
          </cell>
          <cell r="C10" t="str">
            <v>Menggunakan alat berat (cara mekanik)</v>
          </cell>
          <cell r="E10" t="str">
            <v>KODE</v>
          </cell>
          <cell r="L10" t="str">
            <v>KABUPATEN</v>
          </cell>
          <cell r="O10" t="str">
            <v>:  Lampung Timur</v>
          </cell>
          <cell r="T10" t="str">
            <v>f1 x HP x</v>
          </cell>
        </row>
        <row r="11">
          <cell r="A11">
            <v>2</v>
          </cell>
          <cell r="C11" t="str">
            <v>Lokasi pekerjaan :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:  3.1 (1)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</row>
        <row r="12">
          <cell r="A12">
            <v>3</v>
          </cell>
          <cell r="C12" t="str">
            <v>Kondisi Jalan   :  sedang / baik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:  Galian Biasa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:  M3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T14" t="str">
            <v>Harga Olie</v>
          </cell>
        </row>
        <row r="15">
          <cell r="A15">
            <v>6</v>
          </cell>
          <cell r="C15" t="str">
            <v>Faktor kembang material (Padat-Lepas)</v>
          </cell>
          <cell r="F15" t="str">
            <v>HP</v>
          </cell>
          <cell r="G15" t="str">
            <v>Fk</v>
          </cell>
          <cell r="H15">
            <v>1.6667000000000001</v>
          </cell>
          <cell r="I15" t="str">
            <v>-</v>
          </cell>
          <cell r="J15" t="str">
            <v>A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</row>
        <row r="16">
          <cell r="A16" t="str">
            <v>II.</v>
          </cell>
          <cell r="B16" t="str">
            <v>1</v>
          </cell>
          <cell r="C16" t="str">
            <v>URUTAN KERJA</v>
          </cell>
          <cell r="E16" t="str">
            <v>2a</v>
          </cell>
          <cell r="F16" t="str">
            <v>3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>6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PERKIRAAN</v>
          </cell>
          <cell r="R16" t="str">
            <v>HARGA SATUAN</v>
          </cell>
          <cell r="S16" t="str">
            <v>JUMLAH HARGA</v>
          </cell>
          <cell r="T16" t="str">
            <v>16</v>
          </cell>
          <cell r="U16" t="str">
            <v>17</v>
          </cell>
          <cell r="V16" t="str">
            <v>18</v>
          </cell>
        </row>
        <row r="17">
          <cell r="A17">
            <v>1</v>
          </cell>
          <cell r="C17" t="str">
            <v>Tanah yang dipotong umumnya berada disisi jalan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(Rp.)</v>
          </cell>
          <cell r="S17" t="str">
            <v>(Rp.)</v>
          </cell>
        </row>
        <row r="18">
          <cell r="A18">
            <v>2</v>
          </cell>
          <cell r="B18" t="str">
            <v>1.</v>
          </cell>
          <cell r="C18" t="str">
            <v>Penggalian dilakukan dengan menggunakan Excavator</v>
          </cell>
          <cell r="D18" t="str">
            <v>- Batu pecah 10/15</v>
          </cell>
          <cell r="E18" t="str">
            <v>E01</v>
          </cell>
          <cell r="F18">
            <v>150</v>
          </cell>
          <cell r="G18" t="str">
            <v>Ah</v>
          </cell>
          <cell r="H18">
            <v>50</v>
          </cell>
          <cell r="I18" t="str">
            <v>%</v>
          </cell>
          <cell r="J18">
            <v>10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 t="str">
            <v>(Rp.)</v>
          </cell>
          <cell r="S18" t="str">
            <v>(Rp.)</v>
          </cell>
          <cell r="T18">
            <v>486525</v>
          </cell>
          <cell r="U18">
            <v>0</v>
          </cell>
          <cell r="V18">
            <v>0</v>
          </cell>
        </row>
        <row r="19">
          <cell r="A19">
            <v>3</v>
          </cell>
          <cell r="B19" t="str">
            <v>2.</v>
          </cell>
          <cell r="C19" t="str">
            <v>Selanjutnya Excavator menuangkan material hasil</v>
          </cell>
          <cell r="D19" t="str">
            <v>- Batu pecah 5/7</v>
          </cell>
          <cell r="E19" t="str">
            <v>E02</v>
          </cell>
          <cell r="F19">
            <v>47</v>
          </cell>
          <cell r="G19" t="str">
            <v>St</v>
          </cell>
          <cell r="H19">
            <v>20</v>
          </cell>
          <cell r="I19" t="str">
            <v>%</v>
          </cell>
          <cell r="J19">
            <v>6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</row>
        <row r="20">
          <cell r="A20">
            <v>3</v>
          </cell>
          <cell r="B20" t="str">
            <v>3.</v>
          </cell>
          <cell r="C20" t="str">
            <v>galian kedalam Dump Truck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L20" t="str">
            <v>A.</v>
          </cell>
          <cell r="M20">
            <v>6000000</v>
          </cell>
          <cell r="N20" t="str">
            <v>TENAGA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</row>
        <row r="21">
          <cell r="A21">
            <v>4</v>
          </cell>
          <cell r="B21" t="str">
            <v>4.</v>
          </cell>
          <cell r="C21" t="str">
            <v>Dump Truck membuang material hasil galian keluar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>L</v>
          </cell>
          <cell r="H21">
            <v>1</v>
          </cell>
          <cell r="I21" t="str">
            <v>Km</v>
          </cell>
          <cell r="J21">
            <v>5</v>
          </cell>
          <cell r="L21" t="str">
            <v>A.</v>
          </cell>
          <cell r="M21">
            <v>55000000</v>
          </cell>
          <cell r="N21" t="str">
            <v>TENAGA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</row>
        <row r="22">
          <cell r="A22">
            <v>4</v>
          </cell>
          <cell r="B22" t="str">
            <v>5.</v>
          </cell>
          <cell r="C22" t="str">
            <v>lokasi jalan sejauh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>L</v>
          </cell>
          <cell r="H22">
            <v>1</v>
          </cell>
          <cell r="I22" t="str">
            <v>Km</v>
          </cell>
          <cell r="J22">
            <v>5</v>
          </cell>
          <cell r="L22" t="str">
            <v>1.</v>
          </cell>
          <cell r="M22">
            <v>5000000</v>
          </cell>
          <cell r="N22" t="str">
            <v>Pekerja</v>
          </cell>
          <cell r="O22" t="str">
            <v>(L01)</v>
          </cell>
          <cell r="P22" t="str">
            <v>Jam</v>
          </cell>
          <cell r="Q22">
            <v>6.4299999999999996E-2</v>
          </cell>
          <cell r="R22">
            <v>2500</v>
          </cell>
          <cell r="S22">
            <v>0.01</v>
          </cell>
          <cell r="T22">
            <v>31000</v>
          </cell>
          <cell r="U22">
            <v>160.75</v>
          </cell>
          <cell r="V22">
            <v>0</v>
          </cell>
        </row>
        <row r="23">
          <cell r="A23">
            <v>2</v>
          </cell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L23" t="str">
            <v>2.</v>
          </cell>
          <cell r="M23">
            <v>3000000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3.2099999999999997E-2</v>
          </cell>
          <cell r="R23">
            <v>3571.43</v>
          </cell>
          <cell r="S23">
            <v>0.01</v>
          </cell>
          <cell r="T23">
            <v>5812.5</v>
          </cell>
          <cell r="U23">
            <v>114.64</v>
          </cell>
          <cell r="V23">
            <v>0</v>
          </cell>
        </row>
        <row r="24">
          <cell r="A24" t="str">
            <v>III.</v>
          </cell>
          <cell r="B24" t="str">
            <v>7.</v>
          </cell>
          <cell r="C24" t="str">
            <v>PEMAKAIAN BAHAN, ALAT DAN TENAGA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L24" t="str">
            <v>2.</v>
          </cell>
          <cell r="M24">
            <v>35000000</v>
          </cell>
          <cell r="N24" t="str">
            <v>Mandor</v>
          </cell>
          <cell r="O24" t="str">
            <v>(L03)</v>
          </cell>
          <cell r="P24" t="str">
            <v>jam</v>
          </cell>
          <cell r="Q24">
            <v>3.4799999999999998E-2</v>
          </cell>
          <cell r="R24">
            <v>3571.43</v>
          </cell>
          <cell r="S24">
            <v>0.01</v>
          </cell>
          <cell r="T24">
            <v>58125</v>
          </cell>
          <cell r="U24">
            <v>124.29</v>
          </cell>
          <cell r="V24">
            <v>0</v>
          </cell>
        </row>
        <row r="25">
          <cell r="A25">
            <v>3</v>
          </cell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</row>
        <row r="26">
          <cell r="A26" t="str">
            <v xml:space="preserve">   1.</v>
          </cell>
          <cell r="B26" t="str">
            <v>9.</v>
          </cell>
          <cell r="C26" t="str">
            <v>BAHAN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 t="str">
            <v>JUMLAH HARGA TENAGA</v>
          </cell>
          <cell r="R26">
            <v>0.125</v>
          </cell>
          <cell r="S26">
            <v>0.01</v>
          </cell>
          <cell r="T26">
            <v>48437.5</v>
          </cell>
          <cell r="U26">
            <v>275.39</v>
          </cell>
          <cell r="V26">
            <v>0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 t="str">
            <v xml:space="preserve">JUMLAH HARGA TENAGA   </v>
          </cell>
          <cell r="S27">
            <v>0.01</v>
          </cell>
          <cell r="T27">
            <v>31000</v>
          </cell>
          <cell r="U27">
            <v>472.29</v>
          </cell>
          <cell r="V27">
            <v>0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L28" t="str">
            <v>B.</v>
          </cell>
          <cell r="M28">
            <v>10000000</v>
          </cell>
          <cell r="N28" t="str">
            <v>BAHAN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</row>
        <row r="29">
          <cell r="A29" t="str">
            <v xml:space="preserve">   2.</v>
          </cell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L29" t="str">
            <v>B.</v>
          </cell>
          <cell r="M29">
            <v>4000000</v>
          </cell>
          <cell r="N29" t="str">
            <v>BAHAN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</row>
        <row r="30">
          <cell r="A30" t="str">
            <v xml:space="preserve">   2.a.</v>
          </cell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>(E10)</v>
          </cell>
          <cell r="H30" t="str">
            <v/>
          </cell>
          <cell r="I30">
            <v>600000000</v>
          </cell>
          <cell r="J30">
            <v>5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</row>
        <row r="31">
          <cell r="B31" t="str">
            <v>14.</v>
          </cell>
          <cell r="C31" t="str">
            <v>Kapasitas Bucket</v>
          </cell>
          <cell r="D31" t="str">
            <v>=  Ak x 1 M3 x Fk</v>
          </cell>
          <cell r="E31" t="str">
            <v>E14</v>
          </cell>
          <cell r="F31">
            <v>90</v>
          </cell>
          <cell r="G31" t="str">
            <v>V</v>
          </cell>
          <cell r="H31">
            <v>0.5</v>
          </cell>
          <cell r="I31" t="str">
            <v>M3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</row>
        <row r="32">
          <cell r="B32" t="str">
            <v>15.</v>
          </cell>
          <cell r="C32" t="str">
            <v>Faktor Bucket</v>
          </cell>
          <cell r="D32" t="str">
            <v>=  Ah x 1 M3 x Fk</v>
          </cell>
          <cell r="E32" t="str">
            <v>E15</v>
          </cell>
          <cell r="F32">
            <v>105</v>
          </cell>
          <cell r="G32" t="str">
            <v>Fb</v>
          </cell>
          <cell r="H32">
            <v>0.9</v>
          </cell>
          <cell r="I32" t="str">
            <v>-</v>
          </cell>
          <cell r="J32">
            <v>5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</row>
        <row r="33">
          <cell r="B33" t="str">
            <v>16.</v>
          </cell>
          <cell r="C33" t="str">
            <v>Faktor  Efisiensi alat</v>
          </cell>
          <cell r="D33" t="str">
            <v>=  St x 1 M3 x Fk</v>
          </cell>
          <cell r="E33" t="str">
            <v>E16</v>
          </cell>
          <cell r="F33">
            <v>55</v>
          </cell>
          <cell r="G33" t="str">
            <v>Fa</v>
          </cell>
          <cell r="H33">
            <v>0.83</v>
          </cell>
          <cell r="I33" t="str">
            <v>-</v>
          </cell>
          <cell r="J33">
            <v>5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</row>
        <row r="34">
          <cell r="A34" t="str">
            <v xml:space="preserve">   2.</v>
          </cell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</row>
        <row r="35">
          <cell r="A35" t="str">
            <v xml:space="preserve">   2.a.</v>
          </cell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 t="str">
            <v>Ts1</v>
          </cell>
          <cell r="H35" t="str">
            <v>Ton</v>
          </cell>
          <cell r="I35" t="str">
            <v>menit</v>
          </cell>
          <cell r="J35">
            <v>5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 t="str">
            <v>JUMLAH HARGA BAHAN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 t="str">
            <v>T1</v>
          </cell>
          <cell r="H36">
            <v>0.3</v>
          </cell>
          <cell r="I36" t="str">
            <v>menit</v>
          </cell>
          <cell r="J36">
            <v>4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 t="str">
            <v xml:space="preserve">JUMLAH HARGA BAHAN   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>T2</v>
          </cell>
          <cell r="H37">
            <v>0.3</v>
          </cell>
          <cell r="I37" t="str">
            <v>menit</v>
          </cell>
          <cell r="J37">
            <v>4</v>
          </cell>
          <cell r="L37" t="str">
            <v>C.</v>
          </cell>
          <cell r="M37">
            <v>2000000</v>
          </cell>
          <cell r="N37" t="str">
            <v>PERALATAN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 t="str">
            <v>Ts1</v>
          </cell>
          <cell r="H38">
            <v>0.6</v>
          </cell>
          <cell r="I38" t="str">
            <v>menit</v>
          </cell>
          <cell r="J38">
            <v>5</v>
          </cell>
          <cell r="L38" t="str">
            <v>C.</v>
          </cell>
          <cell r="M38">
            <v>140000000</v>
          </cell>
          <cell r="N38" t="str">
            <v>PERALATAN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>v2</v>
          </cell>
          <cell r="H39">
            <v>50</v>
          </cell>
          <cell r="I39" t="str">
            <v>KM/jam</v>
          </cell>
          <cell r="J39">
            <v>2</v>
          </cell>
          <cell r="L39" t="str">
            <v>1.</v>
          </cell>
          <cell r="M39">
            <v>1000000</v>
          </cell>
          <cell r="N39" t="str">
            <v>Excavator</v>
          </cell>
          <cell r="O39" t="str">
            <v>(E10)</v>
          </cell>
          <cell r="P39" t="str">
            <v>Jam</v>
          </cell>
          <cell r="Q39">
            <v>3.2099999999999997E-2</v>
          </cell>
          <cell r="R39">
            <v>251051.43</v>
          </cell>
          <cell r="S39">
            <v>0.01</v>
          </cell>
          <cell r="T39">
            <v>2325</v>
          </cell>
          <cell r="U39">
            <v>8058.75</v>
          </cell>
          <cell r="V39">
            <v>0</v>
          </cell>
        </row>
        <row r="40">
          <cell r="B40" t="str">
            <v>23.</v>
          </cell>
          <cell r="C40" t="str">
            <v>Kap. Prod. / jam =</v>
          </cell>
          <cell r="D40" t="str">
            <v>V  x Fb x Fa x 60</v>
          </cell>
          <cell r="E40" t="str">
            <v>E23</v>
          </cell>
          <cell r="F40">
            <v>100</v>
          </cell>
          <cell r="G40" t="str">
            <v>Q1</v>
          </cell>
          <cell r="H40">
            <v>31.125</v>
          </cell>
          <cell r="I40" t="str">
            <v>M3/Jam</v>
          </cell>
          <cell r="J40">
            <v>5</v>
          </cell>
          <cell r="L40" t="str">
            <v>2.</v>
          </cell>
          <cell r="M40">
            <v>17500000</v>
          </cell>
          <cell r="N40" t="str">
            <v>Dump Truck</v>
          </cell>
          <cell r="O40" t="str">
            <v>(E08)</v>
          </cell>
          <cell r="P40" t="str">
            <v>Jam</v>
          </cell>
          <cell r="Q40">
            <v>6.4500000000000002E-2</v>
          </cell>
          <cell r="R40">
            <v>82267.929999999993</v>
          </cell>
          <cell r="S40">
            <v>0.01</v>
          </cell>
          <cell r="T40">
            <v>38750</v>
          </cell>
          <cell r="U40">
            <v>5306.28</v>
          </cell>
          <cell r="V40">
            <v>0</v>
          </cell>
        </row>
        <row r="41">
          <cell r="B41" t="str">
            <v>24.</v>
          </cell>
          <cell r="C41" t="str">
            <v>- Waktu tempuh isi           =  (L : v1) x 60 menit</v>
          </cell>
          <cell r="D41" t="str">
            <v>Ts1 x Fh</v>
          </cell>
          <cell r="E41" t="str">
            <v>E24</v>
          </cell>
          <cell r="F41">
            <v>11</v>
          </cell>
          <cell r="G41" t="str">
            <v>T1</v>
          </cell>
          <cell r="H41">
            <v>1.5</v>
          </cell>
          <cell r="I41" t="str">
            <v>menit</v>
          </cell>
          <cell r="J41">
            <v>4</v>
          </cell>
          <cell r="L41" t="str">
            <v>3.</v>
          </cell>
          <cell r="M41">
            <v>7500000</v>
          </cell>
          <cell r="N41" t="str">
            <v>Alat Bantu</v>
          </cell>
          <cell r="O41" t="str">
            <v>(E08)</v>
          </cell>
          <cell r="P41" t="str">
            <v>Ls</v>
          </cell>
          <cell r="Q41">
            <v>1</v>
          </cell>
          <cell r="R41">
            <v>750</v>
          </cell>
          <cell r="S41">
            <v>0.01</v>
          </cell>
          <cell r="T41">
            <v>4262.5</v>
          </cell>
          <cell r="U41">
            <v>750</v>
          </cell>
          <cell r="V41">
            <v>0</v>
          </cell>
        </row>
        <row r="42">
          <cell r="B42" t="str">
            <v>25.</v>
          </cell>
          <cell r="C42" t="str">
            <v>Koefisien Alat / M3</v>
          </cell>
          <cell r="D42" t="str">
            <v xml:space="preserve"> =  1  :  Q1</v>
          </cell>
          <cell r="E42" t="str">
            <v>E25</v>
          </cell>
          <cell r="F42">
            <v>5</v>
          </cell>
          <cell r="G42" t="str">
            <v>(E10)</v>
          </cell>
          <cell r="H42">
            <v>3.2099999999999997E-2</v>
          </cell>
          <cell r="I42" t="str">
            <v>Jam</v>
          </cell>
          <cell r="J42">
            <v>4</v>
          </cell>
          <cell r="L42" t="str">
            <v>3.</v>
          </cell>
          <cell r="M42">
            <v>2500000</v>
          </cell>
          <cell r="N42" t="str">
            <v>Alat Bantu</v>
          </cell>
          <cell r="O42">
            <v>8691.75</v>
          </cell>
          <cell r="P42" t="str">
            <v>Ls</v>
          </cell>
          <cell r="Q42">
            <v>1</v>
          </cell>
          <cell r="R42">
            <v>750</v>
          </cell>
          <cell r="S42">
            <v>0.01</v>
          </cell>
          <cell r="T42">
            <v>1937.5</v>
          </cell>
          <cell r="U42">
            <v>750</v>
          </cell>
          <cell r="V42">
            <v>0</v>
          </cell>
        </row>
        <row r="43">
          <cell r="B43" t="str">
            <v>26.</v>
          </cell>
          <cell r="C43" t="str">
            <v>Koefisien Alat / M3</v>
          </cell>
          <cell r="D43" t="str">
            <v xml:space="preserve"> =  1  :  Q1</v>
          </cell>
          <cell r="E43" t="str">
            <v>E26</v>
          </cell>
          <cell r="F43">
            <v>3</v>
          </cell>
          <cell r="G43" t="str">
            <v>-</v>
          </cell>
          <cell r="H43">
            <v>3.4799999999999998E-2</v>
          </cell>
          <cell r="I43" t="str">
            <v>Jam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</row>
        <row r="44">
          <cell r="A44" t="str">
            <v xml:space="preserve">   2.b.</v>
          </cell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>(E08)</v>
          </cell>
          <cell r="H44">
            <v>22.7</v>
          </cell>
          <cell r="I44" t="str">
            <v>menit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</row>
        <row r="45">
          <cell r="A45" t="str">
            <v xml:space="preserve">   2.b.</v>
          </cell>
          <cell r="B45" t="str">
            <v>28.</v>
          </cell>
          <cell r="C45" t="str">
            <v>Kapasitas bak</v>
          </cell>
          <cell r="D45" t="str">
            <v>CONCRETE PUMP</v>
          </cell>
          <cell r="E45" t="str">
            <v>E28</v>
          </cell>
          <cell r="F45">
            <v>100</v>
          </cell>
          <cell r="G45" t="str">
            <v>V</v>
          </cell>
          <cell r="H45">
            <v>4</v>
          </cell>
          <cell r="I45" t="str">
            <v>M3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</row>
        <row r="46">
          <cell r="B46" t="str">
            <v>29.</v>
          </cell>
          <cell r="C46" t="str">
            <v>Faktor  efisiensi alat</v>
          </cell>
          <cell r="D46" t="str">
            <v>TRAILER 20 TON</v>
          </cell>
          <cell r="E46" t="str">
            <v>E29</v>
          </cell>
          <cell r="F46">
            <v>175</v>
          </cell>
          <cell r="G46" t="str">
            <v>Fa</v>
          </cell>
          <cell r="H46">
            <v>0.83</v>
          </cell>
          <cell r="I46" t="str">
            <v>-</v>
          </cell>
          <cell r="J46" t="str">
            <v>Berlanjut ke hal. berikut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</row>
        <row r="47">
          <cell r="B47" t="str">
            <v>30</v>
          </cell>
          <cell r="C47" t="str">
            <v>Kecepatan rata-rata bermuatan</v>
          </cell>
          <cell r="D47" t="str">
            <v>PILE DRIVER + HAMMER</v>
          </cell>
          <cell r="E47" t="str">
            <v>E30</v>
          </cell>
          <cell r="F47">
            <v>25</v>
          </cell>
          <cell r="G47" t="str">
            <v>v1</v>
          </cell>
          <cell r="H47">
            <v>40</v>
          </cell>
          <cell r="I47" t="str">
            <v>KM/Jam</v>
          </cell>
          <cell r="J47">
            <v>5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 t="str">
            <v>JUMLAH HARGA PERALATAN</v>
          </cell>
          <cell r="R47" t="str">
            <v xml:space="preserve">JUMLAH HARGA PERALATAN   </v>
          </cell>
          <cell r="S47">
            <v>0.01</v>
          </cell>
          <cell r="T47">
            <v>9687.5</v>
          </cell>
          <cell r="U47">
            <v>14115.029999999999</v>
          </cell>
          <cell r="V47">
            <v>0</v>
          </cell>
        </row>
        <row r="48">
          <cell r="B48" t="str">
            <v>31.</v>
          </cell>
          <cell r="C48" t="str">
            <v>Kecepatan rata-rata kosong</v>
          </cell>
          <cell r="D48" t="str">
            <v>CRANE ON TRACK 35 TON</v>
          </cell>
          <cell r="E48" t="str">
            <v>E31</v>
          </cell>
          <cell r="F48">
            <v>125</v>
          </cell>
          <cell r="G48" t="str">
            <v>v2</v>
          </cell>
          <cell r="H48">
            <v>60</v>
          </cell>
          <cell r="I48" t="str">
            <v>KM/Jam</v>
          </cell>
          <cell r="J48">
            <v>6</v>
          </cell>
          <cell r="L48" t="str">
            <v>D.</v>
          </cell>
          <cell r="M48">
            <v>98000000</v>
          </cell>
          <cell r="N48" t="str">
            <v>JUMLAH HARGA TENAGA, BAHAN DAN PERALATAN  ( A + B + C )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14390.419999999998</v>
          </cell>
          <cell r="V48">
            <v>0</v>
          </cell>
        </row>
        <row r="49">
          <cell r="C49" t="str">
            <v>Waktu  siklus</v>
          </cell>
          <cell r="G49" t="str">
            <v>Ts2</v>
          </cell>
          <cell r="H49">
            <v>60</v>
          </cell>
          <cell r="I49" t="str">
            <v>menit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1439.04</v>
          </cell>
        </row>
        <row r="50">
          <cell r="C50" t="str">
            <v>- Waktu tempuh isi</v>
          </cell>
          <cell r="E50" t="str">
            <v>=   (L  :  v1)  x  60</v>
          </cell>
          <cell r="G50" t="str">
            <v>T1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15829.46</v>
          </cell>
        </row>
        <row r="51">
          <cell r="C51" t="str">
            <v>- Waktu tempuh kosong</v>
          </cell>
          <cell r="E51" t="str">
            <v>=   (L  :  v2)  x  60</v>
          </cell>
          <cell r="G51" t="str">
            <v>T2</v>
          </cell>
          <cell r="H51">
            <v>1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- Muat</v>
          </cell>
          <cell r="D52" t="str">
            <v xml:space="preserve">KETERANGAN  : </v>
          </cell>
          <cell r="E52" t="str">
            <v>=   (V  :  Q1) x 60</v>
          </cell>
          <cell r="F52" t="str">
            <v>Tingkat Suku Bunga</v>
          </cell>
          <cell r="G52" t="str">
            <v>T3</v>
          </cell>
          <cell r="H52">
            <v>7.7107999999999999</v>
          </cell>
          <cell r="I52" t="str">
            <v>menit</v>
          </cell>
          <cell r="L52">
            <v>2</v>
          </cell>
          <cell r="M52" t="str">
            <v>%  per-tahun</v>
          </cell>
          <cell r="N52" t="str">
            <v>Kuantitas satuan adalah kuantitas setiap komponen untuk menyelesaikan satu satuan pekerjaan dari nomor mata pembayaran</v>
          </cell>
        </row>
        <row r="53">
          <cell r="C53" t="str">
            <v>- Lain-lain</v>
          </cell>
          <cell r="E53" t="str">
            <v>=   (V  :  Q1) x 60</v>
          </cell>
          <cell r="F53" t="str">
            <v>Upah Operator / Sopir / Mekanik</v>
          </cell>
          <cell r="G53" t="str">
            <v>T4</v>
          </cell>
          <cell r="H53">
            <v>0.5</v>
          </cell>
          <cell r="I53" t="str">
            <v>menit</v>
          </cell>
          <cell r="L53">
            <v>3</v>
          </cell>
          <cell r="M53" t="str">
            <v>Rupiah per-orang/jam</v>
          </cell>
          <cell r="N53" t="str">
            <v>Biaya satuan untuk peralatan sudah termasuk bahan bakar, bahan habis dipakai dan operator.</v>
          </cell>
        </row>
        <row r="54">
          <cell r="C54" t="str">
            <v>- Lain-lain</v>
          </cell>
          <cell r="E54" t="str">
            <v>3.</v>
          </cell>
          <cell r="F54" t="str">
            <v>Upah Pembantu Operator/Sopir/Mekanik</v>
          </cell>
          <cell r="G54" t="str">
            <v>Ts2</v>
          </cell>
          <cell r="H54">
            <v>10.710799999999999</v>
          </cell>
          <cell r="I54" t="str">
            <v>menit</v>
          </cell>
          <cell r="L54">
            <v>4</v>
          </cell>
          <cell r="M54" t="str">
            <v>Rupiah per-orang/jam</v>
          </cell>
          <cell r="N54" t="str">
            <v>Biaya satuan sudah termasuk pengeluaran untuk seluruh pajak yang berkaitan (tetapi tidak termasuk PPN yang dibayar dari kontrak )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L55">
            <v>4</v>
          </cell>
          <cell r="M55" t="str">
            <v>Rupiah per-liter</v>
          </cell>
          <cell r="N55" t="str">
            <v>dan biaya-biaya lainnya.</v>
          </cell>
        </row>
        <row r="56">
          <cell r="A56" t="str">
            <v>ITEM PEMBAYARAN NO.</v>
          </cell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Analisa EI-311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A57" t="str">
            <v>JENIS PEKERJAAN</v>
          </cell>
          <cell r="D57" t="str">
            <v>:  Galian Biasa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A58" t="str">
            <v>SATUAN PEMBAYARAN</v>
          </cell>
          <cell r="D58" t="str">
            <v>:  M3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A59" t="str">
            <v>SATUAN PEMBAYARAN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>Lanjutan</v>
          </cell>
          <cell r="L59" t="str">
            <v>PEREKAMAN ANALISA MASING-MASING HARGA SATUAN</v>
          </cell>
        </row>
        <row r="60">
          <cell r="J60" t="str">
            <v>Lanjutan</v>
          </cell>
          <cell r="L60" t="str">
            <v>PEREKAMAN ANALISA MASING-MASING HARGA SATUAN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  <cell r="L61" t="str">
            <v>PROYEK</v>
          </cell>
          <cell r="O61" t="str">
            <v>:  Peningkatan Jalan dan Jembatan Wilayah Barat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L62" t="str">
            <v>No. PAKET KONTRAK</v>
          </cell>
          <cell r="O62" t="str">
            <v xml:space="preserve">: </v>
          </cell>
        </row>
        <row r="63">
          <cell r="L63" t="str">
            <v>NAMA PAKET</v>
          </cell>
          <cell r="O63" t="str">
            <v>:  Pembangunan Jembatan Beton Tersebar di Wilayah Barat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  <cell r="L64" t="str">
            <v>KABUPATEN</v>
          </cell>
          <cell r="O64" t="str">
            <v>:  Lampung Timur</v>
          </cell>
        </row>
        <row r="65">
          <cell r="C65" t="str">
            <v>Kapasitas Produksi / Jam   =</v>
          </cell>
          <cell r="D65" t="str">
            <v>V x Fa x 60</v>
          </cell>
          <cell r="E65" t="str">
            <v xml:space="preserve">    Fk x Ts2</v>
          </cell>
          <cell r="G65" t="str">
            <v>Q2</v>
          </cell>
          <cell r="H65">
            <v>14.6212</v>
          </cell>
          <cell r="I65" t="str">
            <v xml:space="preserve">M3 / Jam </v>
          </cell>
          <cell r="L65" t="str">
            <v>ITEM PEMBAYARAN NO.</v>
          </cell>
          <cell r="O65" t="str">
            <v>:  3.1 (4)</v>
          </cell>
        </row>
        <row r="66">
          <cell r="D66" t="str">
            <v>Fk x Ts2</v>
          </cell>
          <cell r="E66" t="str">
            <v xml:space="preserve">    Fk x Ts2</v>
          </cell>
          <cell r="L66" t="str">
            <v>JENIS PEKERJAAN</v>
          </cell>
          <cell r="O66" t="str">
            <v>:  Galian Struktur Kedalaman 0-2 M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L67" t="str">
            <v>SATUAN PEMBAYARAN</v>
          </cell>
          <cell r="O67" t="str">
            <v>:  M3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Pasangan Batu Dengan Mortar</v>
          </cell>
        </row>
        <row r="69">
          <cell r="C69" t="str">
            <v>Koefisien Alat / M3</v>
          </cell>
          <cell r="D69" t="str">
            <v xml:space="preserve"> =  1  :  Q2</v>
          </cell>
          <cell r="G69" t="str">
            <v>-</v>
          </cell>
          <cell r="H69">
            <v>6.8400000000000002E-2</v>
          </cell>
          <cell r="I69" t="str">
            <v>Jam</v>
          </cell>
          <cell r="L69" t="str">
            <v>SATUAN PEMBAYARAN</v>
          </cell>
          <cell r="O69" t="str">
            <v>:  M3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  <cell r="Q70" t="str">
            <v>PERKIRAAN</v>
          </cell>
          <cell r="R70" t="str">
            <v>HARGA SATUAN</v>
          </cell>
          <cell r="S70" t="str">
            <v>JUMLAH HARGA</v>
          </cell>
        </row>
        <row r="71">
          <cell r="A71" t="str">
            <v>2.c.</v>
          </cell>
          <cell r="C71" t="str">
            <v>ALAT  BANTU</v>
          </cell>
          <cell r="G71" t="str">
            <v>v</v>
          </cell>
          <cell r="H71">
            <v>2</v>
          </cell>
          <cell r="I71" t="str">
            <v>KM/jam</v>
          </cell>
          <cell r="L71" t="str">
            <v>NO.</v>
          </cell>
          <cell r="N71" t="str">
            <v>KOMPONEN</v>
          </cell>
          <cell r="P71" t="str">
            <v>SATUAN</v>
          </cell>
          <cell r="Q71" t="str">
            <v>KUANTITAS</v>
          </cell>
          <cell r="R71" t="str">
            <v>(Rp.)</v>
          </cell>
          <cell r="S71" t="str">
            <v>(Rp.)</v>
          </cell>
        </row>
        <row r="72">
          <cell r="A72" t="str">
            <v>2.d.</v>
          </cell>
          <cell r="C72" t="str">
            <v>Diperlukan alat-alat bantu kecil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C73" t="str">
            <v>- Sekop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  <cell r="L73" t="str">
            <v>NO.</v>
          </cell>
          <cell r="N73" t="str">
            <v>KOMPONEN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C74" t="str">
            <v>- Keranjang</v>
          </cell>
          <cell r="G74" t="str">
            <v>Fa</v>
          </cell>
          <cell r="H74">
            <v>0.83</v>
          </cell>
          <cell r="I74" t="str">
            <v>-</v>
          </cell>
          <cell r="L74" t="str">
            <v>A.</v>
          </cell>
          <cell r="N74" t="str">
            <v>TENAGA</v>
          </cell>
          <cell r="R74" t="str">
            <v>(Rp.)</v>
          </cell>
          <cell r="S74" t="str">
            <v>(Rp.)</v>
          </cell>
        </row>
        <row r="75">
          <cell r="C75" t="str">
            <v>- Keranjang + Sapu</v>
          </cell>
        </row>
        <row r="76">
          <cell r="A76" t="str">
            <v xml:space="preserve">   3.</v>
          </cell>
          <cell r="C76" t="str">
            <v>TENAGA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  <cell r="L76" t="str">
            <v>1.</v>
          </cell>
          <cell r="N76" t="str">
            <v>Pekerja</v>
          </cell>
          <cell r="O76" t="str">
            <v>(L01)</v>
          </cell>
          <cell r="P76" t="str">
            <v>Jam</v>
          </cell>
          <cell r="Q76">
            <v>9.4500000000000001E-2</v>
          </cell>
          <cell r="R76">
            <v>2500</v>
          </cell>
          <cell r="U76">
            <v>236.25</v>
          </cell>
        </row>
        <row r="77">
          <cell r="A77" t="str">
            <v xml:space="preserve">   3.</v>
          </cell>
          <cell r="C77" t="str">
            <v>Produksi menentukan : EXCAVATOR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  <cell r="L77" t="str">
            <v>2.</v>
          </cell>
          <cell r="N77" t="str">
            <v>Mandor</v>
          </cell>
          <cell r="O77" t="str">
            <v>(L03)</v>
          </cell>
          <cell r="P77" t="str">
            <v>Jam</v>
          </cell>
          <cell r="Q77">
            <v>4.7199999999999999E-2</v>
          </cell>
          <cell r="R77">
            <v>3571.43</v>
          </cell>
          <cell r="U77">
            <v>168.57</v>
          </cell>
        </row>
        <row r="78">
          <cell r="C78" t="str">
            <v>Produksi Galian / hari  =  Tk x Q1</v>
          </cell>
          <cell r="D78" t="str">
            <v xml:space="preserve"> =  1  :  Q2</v>
          </cell>
          <cell r="G78" t="str">
            <v>Qt</v>
          </cell>
          <cell r="H78">
            <v>217.875</v>
          </cell>
          <cell r="I78" t="str">
            <v>M3</v>
          </cell>
        </row>
        <row r="79">
          <cell r="C79" t="str">
            <v>Kebutuhan tenaga :</v>
          </cell>
          <cell r="G79" t="str">
            <v>Qt</v>
          </cell>
          <cell r="H79">
            <v>201.1156</v>
          </cell>
          <cell r="I79" t="str">
            <v>M3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17.5</v>
          </cell>
          <cell r="R79">
            <v>2500</v>
          </cell>
          <cell r="U79">
            <v>43750</v>
          </cell>
        </row>
        <row r="80">
          <cell r="A80" t="str">
            <v xml:space="preserve">   2.c.</v>
          </cell>
          <cell r="C80" t="str">
            <v>Kebutuhan tenaga :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  <cell r="L80" t="str">
            <v>2.</v>
          </cell>
          <cell r="N80" t="str">
            <v>Tukang</v>
          </cell>
          <cell r="O80" t="str">
            <v>(L02)</v>
          </cell>
          <cell r="P80" t="str">
            <v>jam</v>
          </cell>
          <cell r="Q80" t="str">
            <v xml:space="preserve">JUMLAH HARGA TENAGA   </v>
          </cell>
          <cell r="R80">
            <v>3214.29</v>
          </cell>
          <cell r="U80">
            <v>404.82</v>
          </cell>
        </row>
        <row r="81">
          <cell r="C81" t="str">
            <v>Diperlukan   :</v>
          </cell>
          <cell r="D81" t="str">
            <v>- Mandor</v>
          </cell>
          <cell r="G81" t="str">
            <v>M</v>
          </cell>
          <cell r="H81">
            <v>1</v>
          </cell>
          <cell r="I81" t="str">
            <v>orang</v>
          </cell>
          <cell r="L81" t="str">
            <v>3.</v>
          </cell>
          <cell r="N81" t="str">
            <v>Mandor</v>
          </cell>
          <cell r="O81" t="str">
            <v>(L03)</v>
          </cell>
          <cell r="P81" t="str">
            <v>jam</v>
          </cell>
          <cell r="Q81">
            <v>1.75</v>
          </cell>
          <cell r="R81">
            <v>3571.43</v>
          </cell>
          <cell r="U81">
            <v>6250</v>
          </cell>
        </row>
        <row r="82">
          <cell r="C82" t="str">
            <v>- Kereta dorong</v>
          </cell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  <cell r="L82" t="str">
            <v>B.</v>
          </cell>
          <cell r="N82" t="str">
            <v>BAHAN</v>
          </cell>
        </row>
        <row r="83">
          <cell r="C83" t="str">
            <v>Koefisien tenaga / M3   :</v>
          </cell>
          <cell r="D83" t="str">
            <v>=  3  buah.</v>
          </cell>
          <cell r="Q83" t="str">
            <v xml:space="preserve">JUMLAH HARGA TENAGA   </v>
          </cell>
          <cell r="U83">
            <v>61250.020000000004</v>
          </cell>
        </row>
        <row r="84">
          <cell r="C84" t="str">
            <v>Koefisien tenaga / M3   :</v>
          </cell>
          <cell r="D84" t="str">
            <v>- Pekerja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  <cell r="L84" t="str">
            <v>1.</v>
          </cell>
        </row>
        <row r="85">
          <cell r="D85" t="str">
            <v>- Mandor</v>
          </cell>
          <cell r="E85" t="str">
            <v>= (Tk x M) : Qt</v>
          </cell>
          <cell r="G85" t="str">
            <v>(L03)</v>
          </cell>
          <cell r="H85">
            <v>3.2099999999999997E-2</v>
          </cell>
          <cell r="I85" t="str">
            <v>Jam</v>
          </cell>
          <cell r="L85" t="str">
            <v>B.</v>
          </cell>
          <cell r="N85" t="str">
            <v>BAHAN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HARGA DASAR SATUAN UPAH, BAHAN DAN ALAT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Batu</v>
          </cell>
          <cell r="O87" t="str">
            <v>(M06)</v>
          </cell>
          <cell r="P87" t="str">
            <v>M3</v>
          </cell>
          <cell r="Q87">
            <v>1.08</v>
          </cell>
          <cell r="R87">
            <v>54300</v>
          </cell>
          <cell r="U87">
            <v>58644</v>
          </cell>
        </row>
        <row r="88">
          <cell r="A88" t="str">
            <v>4.</v>
          </cell>
          <cell r="C88" t="str">
            <v>Lihat lampiran.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Semen (PC)</v>
          </cell>
          <cell r="O88" t="str">
            <v>(M12)</v>
          </cell>
          <cell r="P88" t="str">
            <v>Kg</v>
          </cell>
          <cell r="Q88">
            <v>201.6</v>
          </cell>
          <cell r="R88">
            <v>600</v>
          </cell>
          <cell r="U88">
            <v>120960</v>
          </cell>
        </row>
        <row r="89">
          <cell r="C89" t="str">
            <v>Lihat lampiran.</v>
          </cell>
          <cell r="L89" t="str">
            <v>3.</v>
          </cell>
          <cell r="N89" t="str">
            <v>Pasir</v>
          </cell>
          <cell r="O89" t="str">
            <v>(M01)</v>
          </cell>
          <cell r="P89" t="str">
            <v>M3</v>
          </cell>
          <cell r="Q89">
            <v>0.45269999999999999</v>
          </cell>
          <cell r="R89">
            <v>48500</v>
          </cell>
          <cell r="U89">
            <v>21955.95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  <cell r="Q90" t="str">
            <v xml:space="preserve">JUMLAH HARGA BAHAN   </v>
          </cell>
          <cell r="U90">
            <v>0</v>
          </cell>
        </row>
        <row r="91">
          <cell r="A91" t="str">
            <v>5.</v>
          </cell>
          <cell r="C91" t="str">
            <v>Lihat perhitungan dalam FORMULIR STANDAR UNTUK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PEREKEMAN ANALISA MASING-MASING HARGA</v>
          </cell>
          <cell r="L92" t="str">
            <v>C.</v>
          </cell>
          <cell r="N92" t="str">
            <v>PERALATAN</v>
          </cell>
        </row>
        <row r="93">
          <cell r="C93" t="str">
            <v>SATUAN.</v>
          </cell>
          <cell r="L93" t="str">
            <v>1.</v>
          </cell>
          <cell r="N93" t="str">
            <v>Excavator</v>
          </cell>
          <cell r="O93" t="str">
            <v>(E10)</v>
          </cell>
          <cell r="P93" t="str">
            <v>Jam</v>
          </cell>
          <cell r="Q93">
            <v>4.7199999999999999E-2</v>
          </cell>
          <cell r="R93">
            <v>251051.43</v>
          </cell>
          <cell r="U93">
            <v>11849.63</v>
          </cell>
        </row>
        <row r="94">
          <cell r="C94" t="str">
            <v>Didapat Harga Satuan Pekerjaan :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L94" t="str">
            <v>2.</v>
          </cell>
          <cell r="N94" t="str">
            <v>Bulldozer</v>
          </cell>
          <cell r="O94" t="str">
            <v>(E04)</v>
          </cell>
          <cell r="P94" t="str">
            <v>Jam</v>
          </cell>
          <cell r="Q94">
            <v>1.7500000000000002E-2</v>
          </cell>
          <cell r="R94">
            <v>178010.43</v>
          </cell>
          <cell r="U94">
            <v>3115.18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Alat  bantu</v>
          </cell>
          <cell r="P95" t="str">
            <v>Ls</v>
          </cell>
          <cell r="Q95">
            <v>1</v>
          </cell>
          <cell r="R95">
            <v>750</v>
          </cell>
          <cell r="U95">
            <v>750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  <cell r="L96" t="str">
            <v>C.</v>
          </cell>
          <cell r="N96" t="str">
            <v>PERALATAN</v>
          </cell>
        </row>
        <row r="97">
          <cell r="A97" t="str">
            <v>4.</v>
          </cell>
          <cell r="C97" t="str">
            <v xml:space="preserve">Rp.  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  <cell r="L98" t="str">
            <v>1.</v>
          </cell>
          <cell r="N98" t="str">
            <v>Alat Bantu</v>
          </cell>
          <cell r="P98" t="str">
            <v>Ls</v>
          </cell>
          <cell r="Q98">
            <v>1</v>
          </cell>
          <cell r="R98">
            <v>2500</v>
          </cell>
          <cell r="U98">
            <v>2500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Q101" t="str">
            <v xml:space="preserve">JUMLAH HARGA PERALATAN   </v>
          </cell>
          <cell r="U101">
            <v>15714.81</v>
          </cell>
        </row>
        <row r="102">
          <cell r="C102" t="str">
            <v>PEREKAMAN ANALISA MASING-MASING HARGA</v>
          </cell>
          <cell r="L102" t="str">
            <v>D.</v>
          </cell>
          <cell r="N102" t="str">
            <v>JUMLAH HARGA TENAGA, BAHAN DAN PERALATAN  ( A + B + C )</v>
          </cell>
          <cell r="U102">
            <v>16119.63</v>
          </cell>
        </row>
        <row r="103">
          <cell r="C103" t="str">
            <v>SATUAN.</v>
          </cell>
          <cell r="L103" t="str">
            <v>E.</v>
          </cell>
          <cell r="N103" t="str">
            <v>OVERHEAD &amp; PROFIT</v>
          </cell>
          <cell r="P103">
            <v>10</v>
          </cell>
          <cell r="Q103" t="str">
            <v>%  x  D</v>
          </cell>
          <cell r="U103">
            <v>1611.96</v>
          </cell>
        </row>
        <row r="104">
          <cell r="C104" t="str">
            <v>Didapat Harga Satuan Pekerjaan :</v>
          </cell>
          <cell r="L104" t="str">
            <v>F.</v>
          </cell>
          <cell r="N104" t="str">
            <v>HARGA SATUAN PEKERJAAN  ( D + E )</v>
          </cell>
          <cell r="Q104" t="str">
            <v xml:space="preserve">JUMLAH HARGA PERALATAN   </v>
          </cell>
          <cell r="U104">
            <v>17731.59</v>
          </cell>
        </row>
        <row r="105">
          <cell r="L105" t="str">
            <v>Note: 1</v>
          </cell>
          <cell r="N105" t="str">
            <v>SATUAN dapat berdasarkan atas jam operasi untuk Tenaga Kerja dan Peralatan, volume dan/atau ukuran berat untuk bahan-bahan</v>
          </cell>
          <cell r="U105">
            <v>265309.97000000003</v>
          </cell>
        </row>
        <row r="106">
          <cell r="L106">
            <v>2</v>
          </cell>
          <cell r="N106" t="str">
            <v>Kuantitas satuan adalah kuantitas setiap komponen untuk menyelesaikan satu satuan pekerjaan dari nomor mata pembayaran</v>
          </cell>
          <cell r="P106">
            <v>10</v>
          </cell>
          <cell r="Q106" t="str">
            <v>%  x  D</v>
          </cell>
          <cell r="U106">
            <v>26531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>
            <v>3</v>
          </cell>
          <cell r="N107" t="str">
            <v>Biaya satuan untuk peralatan sudah termasuk bahan bakar, bahan habis dipakai dan operator.</v>
          </cell>
          <cell r="U107">
            <v>291840.97000000003</v>
          </cell>
        </row>
        <row r="108">
          <cell r="L108">
            <v>4</v>
          </cell>
          <cell r="N108" t="str">
            <v>Biaya satuan sudah termasuk pengeluaran untuk seluruh pajak yang berkaitan (tetapi tidak termasuk PPN yang dibayar dari kontrak )</v>
          </cell>
        </row>
        <row r="109">
          <cell r="L109" t="str">
            <v>Note: 1</v>
          </cell>
          <cell r="N109" t="str">
            <v>dan biaya-biaya lainnya.</v>
          </cell>
        </row>
        <row r="110">
          <cell r="L110">
            <v>2</v>
          </cell>
          <cell r="N110" t="str">
            <v>Kuantitas satuan adalah kuantitas setiap komponen untuk menyelesaikan satu satuan pekerjaan dari nomor mata pembayaran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3</v>
          </cell>
          <cell r="N111" t="str">
            <v>Biaya satuan untuk peralatan sudah termasuk bahan bakar, bahan habis dipakai dan operator.</v>
          </cell>
          <cell r="T111" t="str">
            <v>Analisa EI-315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4</v>
          </cell>
          <cell r="N112" t="str">
            <v>Biaya satuan sudah termasuk pengeluaran untuk seluruh pajak yang berkaitan (tetapi tidak termasuk PPN yang dibayar dari kontrak )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 t="str">
            <v>FORMULIR STANDAR UNTUK</v>
          </cell>
          <cell r="N113" t="str">
            <v>dan biaya-biaya lainnya.</v>
          </cell>
        </row>
        <row r="115">
          <cell r="A115" t="str">
            <v>ITEM PEMBAYARAN NO.</v>
          </cell>
          <cell r="D115" t="str">
            <v>:  2.2</v>
          </cell>
          <cell r="J115" t="str">
            <v xml:space="preserve">Analisa LI-22 </v>
          </cell>
        </row>
        <row r="116">
          <cell r="A116" t="str">
            <v>No.</v>
          </cell>
          <cell r="C116" t="str">
            <v>U R A I A N</v>
          </cell>
          <cell r="D116" t="str">
            <v>:  Pasangan Batu Dengan Mortar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KETERANGAN</v>
          </cell>
        </row>
        <row r="117">
          <cell r="A117" t="str">
            <v>SATUAN PEMBAYARAN</v>
          </cell>
          <cell r="D117" t="str">
            <v>:  M3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>
            <v>1</v>
          </cell>
          <cell r="C120" t="str">
            <v>Pekerjaan dilakukan secara manual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>
            <v>2</v>
          </cell>
          <cell r="C121" t="str">
            <v>Lokasi pekerjaan : sekitar jembatan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>
            <v>4</v>
          </cell>
          <cell r="C123" t="str">
            <v>Jam kerja efektif per-hari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>
            <v>5</v>
          </cell>
          <cell r="C124" t="str">
            <v>Faktor pengembangan bahan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6</v>
          </cell>
          <cell r="C125" t="str">
            <v>Pengurugan kembali (backfill) untuk struktur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 t="str">
            <v>II.</v>
          </cell>
          <cell r="C127" t="str">
            <v>METHODE PELAKSANAAN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1</v>
          </cell>
          <cell r="C128" t="str">
            <v>Tanah yang dipotong berada disekitar lokasi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2</v>
          </cell>
          <cell r="C129" t="str">
            <v>Penggalian dilakukan dengan menggunakan alat Excavator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A130">
            <v>3</v>
          </cell>
          <cell r="C130" t="str">
            <v>Bulldozer mengangkut/mengusur hasil galian ke tempat</v>
          </cell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pembuangan di sekitar lokasi pekerjaan</v>
          </cell>
          <cell r="G131" t="str">
            <v>L</v>
          </cell>
          <cell r="H131">
            <v>7.4999999999999997E-2</v>
          </cell>
          <cell r="I131" t="str">
            <v>Km</v>
          </cell>
        </row>
        <row r="132">
          <cell r="A132">
            <v>8</v>
          </cell>
          <cell r="C132" t="str">
            <v>- Batu</v>
          </cell>
          <cell r="D132" t="str">
            <v>- Pasir urug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A133" t="str">
            <v>III.</v>
          </cell>
          <cell r="C133" t="str">
            <v>PEMAKAIAN BAHAN, ALAT DAN TENAGA</v>
          </cell>
          <cell r="D133" t="str">
            <v>- Batu pecah 10/15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 xml:space="preserve">   1.</v>
          </cell>
          <cell r="C135" t="str">
            <v>BAHAN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>- Urugan Pilihan (untuk backfill)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 t="str">
            <v xml:space="preserve">   2.</v>
          </cell>
          <cell r="C138" t="str">
            <v>ALAT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EXCAVATOR</v>
          </cell>
          <cell r="G139" t="str">
            <v>(E10)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Kapasitas Bucket</v>
          </cell>
          <cell r="E140" t="str">
            <v>- Batu</v>
          </cell>
          <cell r="G140" t="str">
            <v>V</v>
          </cell>
          <cell r="H140">
            <v>0.5</v>
          </cell>
          <cell r="I140" t="str">
            <v>M3</v>
          </cell>
        </row>
        <row r="141">
          <cell r="C141" t="str">
            <v>Faktor Bucket</v>
          </cell>
          <cell r="E141" t="str">
            <v>- Pasir / Semen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A142" t="str">
            <v>II.</v>
          </cell>
          <cell r="C142" t="str">
            <v>Faktor  Efisiensi alat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1</v>
          </cell>
          <cell r="C143" t="str">
            <v>Faktor kedalaman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Berat isi material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>
            <v>2</v>
          </cell>
          <cell r="C145" t="str">
            <v>Waktu siklus</v>
          </cell>
        </row>
        <row r="146">
          <cell r="C146" t="str">
            <v>- Menggali / memuat</v>
          </cell>
          <cell r="D146" t="str">
            <v>=  Ak x 1 M3 x Fk</v>
          </cell>
          <cell r="G146" t="str">
            <v>Te1</v>
          </cell>
          <cell r="H146">
            <v>0.3</v>
          </cell>
          <cell r="I146" t="str">
            <v>menit</v>
          </cell>
        </row>
        <row r="147">
          <cell r="A147">
            <v>3</v>
          </cell>
          <cell r="C147" t="str">
            <v>- Lain-lain</v>
          </cell>
          <cell r="D147" t="str">
            <v>=  Ah x 1 M3 x Fk</v>
          </cell>
          <cell r="G147" t="str">
            <v>Te2</v>
          </cell>
          <cell r="H147">
            <v>0.3</v>
          </cell>
          <cell r="I147" t="str">
            <v>menit</v>
          </cell>
        </row>
        <row r="148">
          <cell r="A148" t="str">
            <v>III.</v>
          </cell>
          <cell r="C148" t="str">
            <v>PEMAKAIAN BAHAN, ALAT DAN TENAGA</v>
          </cell>
          <cell r="D148" t="str">
            <v>=  St x 1 M3 x Fk</v>
          </cell>
          <cell r="G148" t="str">
            <v>Te</v>
          </cell>
          <cell r="H148">
            <v>0.6</v>
          </cell>
          <cell r="I148" t="str">
            <v>menit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1.</v>
          </cell>
          <cell r="C150" t="str">
            <v>Kap. Prod. / jam =</v>
          </cell>
          <cell r="D150" t="str">
            <v>V  x Fb x Fa x Fd x Bim x 60</v>
          </cell>
          <cell r="G150" t="str">
            <v>Q1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Batu     -----&gt;</v>
          </cell>
          <cell r="D151" t="str">
            <v>Te x Fh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C153" t="str">
            <v>Koefisien Alat / M3</v>
          </cell>
          <cell r="D153" t="str">
            <v xml:space="preserve"> =  1  :  Q1</v>
          </cell>
          <cell r="G153" t="str">
            <v>(E10)</v>
          </cell>
          <cell r="H153">
            <v>4.7199999999999999E-2</v>
          </cell>
          <cell r="I153" t="str">
            <v>Jam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5">
          <cell r="A155" t="str">
            <v>2.b.</v>
          </cell>
          <cell r="C155" t="str">
            <v>BULLDOZER</v>
          </cell>
          <cell r="G155" t="str">
            <v>(E04)</v>
          </cell>
        </row>
        <row r="156">
          <cell r="A156" t="str">
            <v>2.</v>
          </cell>
          <cell r="C156" t="str">
            <v>Faktor blade</v>
          </cell>
          <cell r="G156" t="str">
            <v>Fb</v>
          </cell>
          <cell r="H156">
            <v>0.9</v>
          </cell>
          <cell r="I156" t="str">
            <v>-</v>
          </cell>
        </row>
        <row r="157">
          <cell r="A157" t="str">
            <v>2.a.</v>
          </cell>
          <cell r="C157" t="str">
            <v>Faktor  efisiensi alat</v>
          </cell>
          <cell r="G157" t="str">
            <v>Fa</v>
          </cell>
          <cell r="H157">
            <v>0.83</v>
          </cell>
          <cell r="I157" t="str">
            <v>-</v>
          </cell>
        </row>
        <row r="158">
          <cell r="C158" t="str">
            <v>Kecepatan maju</v>
          </cell>
          <cell r="G158" t="str">
            <v>F</v>
          </cell>
          <cell r="H158">
            <v>3</v>
          </cell>
          <cell r="I158" t="str">
            <v>Km/Jam</v>
          </cell>
        </row>
        <row r="159">
          <cell r="C159" t="str">
            <v>Kecepatan mundur</v>
          </cell>
          <cell r="D159" t="str">
            <v>=  2  buah</v>
          </cell>
          <cell r="G159" t="str">
            <v>R</v>
          </cell>
          <cell r="H159">
            <v>4</v>
          </cell>
          <cell r="I159" t="str">
            <v>Km/Jam</v>
          </cell>
        </row>
        <row r="160">
          <cell r="C160" t="str">
            <v>Lebar Blade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Tinggi blade</v>
          </cell>
          <cell r="D161" t="str">
            <v>=  2  buah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Jarak Gusur</v>
          </cell>
          <cell r="D162" t="str">
            <v>=  4  buah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Volume 1 kali gusur =</v>
          </cell>
          <cell r="D163" t="str">
            <v>=  1  buah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>3.</v>
          </cell>
          <cell r="C165" t="str">
            <v>TENAGA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>Produksi Pasangan Batu dengan Mortar dalam 1 hari</v>
          </cell>
          <cell r="D166" t="str">
            <v>:  3.1 (3)</v>
          </cell>
          <cell r="G166" t="str">
            <v>Qt</v>
          </cell>
          <cell r="H166">
            <v>4</v>
          </cell>
          <cell r="I166" t="str">
            <v>M3</v>
          </cell>
          <cell r="J166" t="str">
            <v>Analisa EI-314</v>
          </cell>
          <cell r="T166" t="str">
            <v>Analisa EI-321</v>
          </cell>
        </row>
        <row r="167">
          <cell r="A167" t="str">
            <v>JENIS PEKERJAAN</v>
          </cell>
          <cell r="C167" t="str">
            <v>Kebutuhan tenaga :</v>
          </cell>
          <cell r="D167" t="str">
            <v>:  Galian Struktur Kedalaman 0-2 M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A168" t="str">
            <v>SATUAN PEMBAYARAN</v>
          </cell>
          <cell r="D168" t="str">
            <v>:  M3</v>
          </cell>
          <cell r="G168" t="str">
            <v>Tb</v>
          </cell>
          <cell r="H168" t="str">
            <v xml:space="preserve">         URAIAN ANALISA HARGA SATUAN</v>
          </cell>
          <cell r="I168" t="str">
            <v>orang</v>
          </cell>
          <cell r="L168" t="str">
            <v>FORMULIR STANDAR UNTUK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  <cell r="J169" t="str">
            <v>Lanjutan</v>
          </cell>
          <cell r="L169" t="str">
            <v>PEREKAMAN ANALISA MASING-MASING HARGA SATUAN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KETERANGAN</v>
          </cell>
          <cell r="L171" t="str">
            <v>PROYEK</v>
          </cell>
          <cell r="O171" t="str">
            <v>:  Peningkatan Jalan dan Jembatan Wilayah Barat</v>
          </cell>
        </row>
        <row r="172">
          <cell r="A172" t="str">
            <v>ITEM PEMBAYARAN NO.</v>
          </cell>
          <cell r="D172" t="str">
            <v>:  2.2</v>
          </cell>
          <cell r="J172" t="str">
            <v xml:space="preserve">Analisa LI-22 </v>
          </cell>
          <cell r="L172" t="str">
            <v>No. PAKET KONTRAK</v>
          </cell>
          <cell r="O172" t="str">
            <v xml:space="preserve">: </v>
          </cell>
        </row>
        <row r="173">
          <cell r="A173" t="str">
            <v>JENIS PEKERJAAN</v>
          </cell>
          <cell r="D173" t="str">
            <v>:  Pasangan Batu Dengan Mortar</v>
          </cell>
          <cell r="J173" t="str">
            <v>Analisa El-85</v>
          </cell>
          <cell r="L173" t="str">
            <v>PEKERJAAN</v>
          </cell>
          <cell r="O173" t="str">
            <v>:  Pembangunan Jembatan Beton Tersebar di Wilayah Barat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M3</v>
          </cell>
          <cell r="J174" t="str">
            <v xml:space="preserve">         URAIAN ANALISA HARGA SATUAN</v>
          </cell>
          <cell r="L174" t="str">
            <v>KABUPATEN</v>
          </cell>
          <cell r="O174" t="str">
            <v>:  Lampung Timur</v>
          </cell>
        </row>
        <row r="175">
          <cell r="A175" t="str">
            <v>SATUAN PEMBAYARAN</v>
          </cell>
          <cell r="C175" t="str">
            <v>- Maju</v>
          </cell>
          <cell r="D175" t="str">
            <v>= (L x 60) / (F x 1000)</v>
          </cell>
          <cell r="G175" t="str">
            <v>Tb1</v>
          </cell>
          <cell r="H175">
            <v>1.5</v>
          </cell>
          <cell r="I175" t="str">
            <v>menit</v>
          </cell>
          <cell r="J175" t="str">
            <v>Lanjutan</v>
          </cell>
          <cell r="L175" t="str">
            <v>ITEM PEMBAYARAN NO.</v>
          </cell>
          <cell r="O175" t="str">
            <v>:  3.2 (1)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 t="str">
            <v>JENIS PEKERJAAN</v>
          </cell>
          <cell r="O176" t="str">
            <v>:  Urugan Biasa</v>
          </cell>
        </row>
        <row r="177">
          <cell r="A177" t="str">
            <v>No.</v>
          </cell>
          <cell r="C177" t="str">
            <v>- Lain-lain</v>
          </cell>
          <cell r="G177" t="str">
            <v>Tb3</v>
          </cell>
          <cell r="H177">
            <v>0.2</v>
          </cell>
          <cell r="I177" t="str">
            <v>menit</v>
          </cell>
          <cell r="J177" t="str">
            <v>KETERANGAN</v>
          </cell>
          <cell r="L177" t="str">
            <v>SATUAN PEMBAYARAN</v>
          </cell>
          <cell r="O177" t="str">
            <v>:  M3</v>
          </cell>
        </row>
        <row r="178">
          <cell r="A178" t="str">
            <v>No.</v>
          </cell>
          <cell r="C178" t="str">
            <v>U R A I A N</v>
          </cell>
          <cell r="G178" t="str">
            <v>Tb</v>
          </cell>
          <cell r="H178">
            <v>2.8250000000000002</v>
          </cell>
          <cell r="I178" t="str">
            <v>menit</v>
          </cell>
          <cell r="J178" t="str">
            <v>KETERANGAN</v>
          </cell>
        </row>
        <row r="180"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  <cell r="Q180" t="str">
            <v>PERKIRAAN</v>
          </cell>
          <cell r="R180" t="str">
            <v>HARGA SATUAN</v>
          </cell>
          <cell r="S180" t="str">
            <v>JUMLAH HARGA</v>
          </cell>
        </row>
        <row r="181">
          <cell r="C181" t="str">
            <v>Koefisien Tenaga / M3   :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NO.</v>
          </cell>
          <cell r="N181" t="str">
            <v>KOMPONEN</v>
          </cell>
          <cell r="P181" t="str">
            <v>SATUAN</v>
          </cell>
          <cell r="Q181" t="str">
            <v>KUANTITAS</v>
          </cell>
          <cell r="R181" t="str">
            <v>(Rp.)</v>
          </cell>
          <cell r="S181" t="str">
            <v>(Rp.)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 xml:space="preserve"> =  1  :  Q2</v>
          </cell>
          <cell r="E183" t="str">
            <v>= (Tk x Tb) : Qt</v>
          </cell>
          <cell r="G183" t="str">
            <v>(E04)</v>
          </cell>
          <cell r="H183">
            <v>1.7500000000000002E-2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  <cell r="L184" t="str">
            <v>A.</v>
          </cell>
          <cell r="N184" t="str">
            <v>TENAGA</v>
          </cell>
        </row>
        <row r="186">
          <cell r="A186" t="str">
            <v>2.c.</v>
          </cell>
          <cell r="C186" t="str">
            <v>ALAT  BANTU</v>
          </cell>
          <cell r="G186" t="str">
            <v>(E16 )</v>
          </cell>
          <cell r="L186" t="str">
            <v>1.</v>
          </cell>
          <cell r="N186" t="str">
            <v>Pekerja</v>
          </cell>
          <cell r="O186" t="str">
            <v>(L01)</v>
          </cell>
          <cell r="P186" t="str">
            <v>Jam</v>
          </cell>
          <cell r="Q186">
            <v>5.7099999999999998E-2</v>
          </cell>
          <cell r="R186">
            <v>2500</v>
          </cell>
          <cell r="U186">
            <v>142.75</v>
          </cell>
        </row>
        <row r="187">
          <cell r="C187" t="str">
            <v>Diperlukan alat-alat bantu kecil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2.</v>
          </cell>
          <cell r="N187" t="str">
            <v>Mandor</v>
          </cell>
          <cell r="O187" t="str">
            <v>(L03)</v>
          </cell>
          <cell r="P187" t="str">
            <v>Jam</v>
          </cell>
          <cell r="Q187">
            <v>1.43E-2</v>
          </cell>
          <cell r="R187">
            <v>3571.43</v>
          </cell>
          <cell r="U187">
            <v>51.07</v>
          </cell>
        </row>
        <row r="188">
          <cell r="C188" t="str">
            <v>- Pacul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- Sekop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Lihat perhitungan dalam FORMULIR STANDAR UNTUK</v>
          </cell>
          <cell r="G190" t="str">
            <v>Fa</v>
          </cell>
          <cell r="H190">
            <v>0.83</v>
          </cell>
          <cell r="I190" t="str">
            <v>-</v>
          </cell>
          <cell r="Q190" t="str">
            <v xml:space="preserve">JUMLAH HARGA TENAGA   </v>
          </cell>
          <cell r="U190">
            <v>193.82</v>
          </cell>
        </row>
        <row r="191">
          <cell r="C191" t="str">
            <v>PEREKEMAN ANALISA MASING-MASING HARGA</v>
          </cell>
        </row>
        <row r="192">
          <cell r="A192" t="str">
            <v xml:space="preserve">   3.</v>
          </cell>
          <cell r="C192" t="str">
            <v>TENAGA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  <cell r="L192" t="str">
            <v>B.</v>
          </cell>
          <cell r="N192" t="str">
            <v>BAHAN</v>
          </cell>
        </row>
        <row r="193">
          <cell r="C193" t="str">
            <v>Produksi menentukan : EXCAVATOR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Produksi Galian / hari  =  Tk x Q1</v>
          </cell>
          <cell r="D194" t="str">
            <v xml:space="preserve"> =  1  :  Q2</v>
          </cell>
          <cell r="G194" t="str">
            <v>Qt</v>
          </cell>
          <cell r="H194">
            <v>148.16</v>
          </cell>
          <cell r="I194" t="str">
            <v>M3</v>
          </cell>
          <cell r="L194" t="str">
            <v>1.</v>
          </cell>
          <cell r="N194" t="str">
            <v>Material timbunan (M08)</v>
          </cell>
          <cell r="P194" t="str">
            <v>M3</v>
          </cell>
          <cell r="Q194">
            <v>1.2</v>
          </cell>
          <cell r="R194">
            <v>5000</v>
          </cell>
          <cell r="U194">
            <v>6000</v>
          </cell>
        </row>
        <row r="195">
          <cell r="C195" t="str">
            <v>Kebutuhan tenaga :</v>
          </cell>
          <cell r="D195">
            <v>291840.97000000003</v>
          </cell>
          <cell r="E195" t="str">
            <v xml:space="preserve"> / M3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C198" t="str">
            <v>- Kereta dorong</v>
          </cell>
          <cell r="D198" t="str">
            <v>=  2  buah.</v>
          </cell>
        </row>
        <row r="199">
          <cell r="C199" t="str">
            <v>Koefisien tenaga / M3   :</v>
          </cell>
          <cell r="D199" t="str">
            <v>=  3  buah.</v>
          </cell>
        </row>
        <row r="200">
          <cell r="C200" t="str">
            <v>- Garpu</v>
          </cell>
          <cell r="D200" t="str">
            <v>- Pekerja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Q201" t="str">
            <v xml:space="preserve">JUMLAH HARGA BAHAN   </v>
          </cell>
          <cell r="U201">
            <v>6000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HARGA DASAR SATUAN UPAH, BAHAN DAN ALAT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C.</v>
          </cell>
          <cell r="N203" t="str">
            <v>PERALATAN</v>
          </cell>
        </row>
        <row r="204">
          <cell r="C204" t="str">
            <v>Lihat lampiran.</v>
          </cell>
          <cell r="G204" t="str">
            <v>Qt</v>
          </cell>
          <cell r="H204">
            <v>261.45</v>
          </cell>
          <cell r="I204" t="str">
            <v>M3</v>
          </cell>
          <cell r="L204" t="str">
            <v>1.</v>
          </cell>
          <cell r="N204" t="str">
            <v>Whell  Loader</v>
          </cell>
          <cell r="O204" t="str">
            <v>(E15)</v>
          </cell>
          <cell r="P204" t="str">
            <v>Jam</v>
          </cell>
          <cell r="Q204">
            <v>1.43E-2</v>
          </cell>
          <cell r="R204">
            <v>143049.93</v>
          </cell>
          <cell r="U204">
            <v>2045.61</v>
          </cell>
        </row>
        <row r="205">
          <cell r="C205" t="str">
            <v>Kebutuhan tenaga :</v>
          </cell>
          <cell r="L205" t="str">
            <v>2.</v>
          </cell>
          <cell r="N205" t="str">
            <v>Dump Truck</v>
          </cell>
          <cell r="O205" t="str">
            <v>(E08)</v>
          </cell>
          <cell r="P205" t="str">
            <v>Jam</v>
          </cell>
          <cell r="Q205">
            <v>3.3099999999999997E-2</v>
          </cell>
          <cell r="R205">
            <v>82267.929999999993</v>
          </cell>
          <cell r="U205">
            <v>2723.07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3.</v>
          </cell>
          <cell r="N206" t="str">
            <v>Motor Grader</v>
          </cell>
          <cell r="O206" t="str">
            <v>(E13)</v>
          </cell>
          <cell r="P206" t="str">
            <v>Jam</v>
          </cell>
          <cell r="Q206">
            <v>1.17E-2</v>
          </cell>
          <cell r="R206">
            <v>182896.93</v>
          </cell>
          <cell r="U206">
            <v>2139.89</v>
          </cell>
        </row>
        <row r="207">
          <cell r="C207" t="str">
            <v>Lihat perhitungan dalam FORMULIR STANDAR UNTUK</v>
          </cell>
          <cell r="D207" t="str">
            <v>- Mandor</v>
          </cell>
          <cell r="G207" t="str">
            <v>M</v>
          </cell>
          <cell r="H207">
            <v>5</v>
          </cell>
          <cell r="I207" t="str">
            <v>orang</v>
          </cell>
          <cell r="L207" t="str">
            <v>3.</v>
          </cell>
          <cell r="N207" t="str">
            <v>Vibro Roller</v>
          </cell>
          <cell r="O207" t="str">
            <v>(E19)</v>
          </cell>
          <cell r="P207" t="str">
            <v>Jam</v>
          </cell>
          <cell r="Q207">
            <v>2.1399999999999999E-2</v>
          </cell>
          <cell r="R207">
            <v>106334.43</v>
          </cell>
          <cell r="U207">
            <v>2275.56</v>
          </cell>
        </row>
        <row r="208">
          <cell r="C208" t="str">
            <v>PEREKEMAN ANALISA MASING-MASING HARGA</v>
          </cell>
          <cell r="L208" t="str">
            <v>4.</v>
          </cell>
          <cell r="N208" t="str">
            <v>Water Tanker</v>
          </cell>
          <cell r="O208" t="str">
            <v>(E23)</v>
          </cell>
          <cell r="P208" t="str">
            <v>Jam</v>
          </cell>
          <cell r="Q208">
            <v>2.1100000000000001E-2</v>
          </cell>
          <cell r="R208">
            <v>82267.929999999993</v>
          </cell>
          <cell r="U208">
            <v>1735.85</v>
          </cell>
        </row>
        <row r="209">
          <cell r="C209" t="str">
            <v>SATUAN.</v>
          </cell>
          <cell r="L209" t="str">
            <v>5.</v>
          </cell>
          <cell r="N209" t="str">
            <v>Alat  Bantu</v>
          </cell>
          <cell r="P209" t="str">
            <v>Ls</v>
          </cell>
          <cell r="Q209">
            <v>1</v>
          </cell>
          <cell r="R209">
            <v>1000</v>
          </cell>
          <cell r="U209">
            <v>1000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  <cell r="Q212" t="str">
            <v xml:space="preserve">JUMLAH HARGA PERALATAN   </v>
          </cell>
          <cell r="U212">
            <v>11919.98</v>
          </cell>
        </row>
        <row r="213">
          <cell r="A213" t="str">
            <v>4.</v>
          </cell>
          <cell r="C213" t="str">
            <v>HARGA DASAR SATUAN UPAH, BAHAN DAN ALAT</v>
          </cell>
          <cell r="L213" t="str">
            <v>D.</v>
          </cell>
          <cell r="N213" t="str">
            <v>JUMLAH HARGA TENAGA, BAHAN DAN PERALATAN  ( A + B + C )</v>
          </cell>
          <cell r="U213">
            <v>18113.8</v>
          </cell>
        </row>
        <row r="214">
          <cell r="C214" t="str">
            <v>Lihat lampiran.</v>
          </cell>
          <cell r="L214" t="str">
            <v>E.</v>
          </cell>
          <cell r="N214" t="str">
            <v>OVERHEAD &amp; PROFIT</v>
          </cell>
          <cell r="P214">
            <v>10</v>
          </cell>
          <cell r="Q214" t="str">
            <v>%  x  D</v>
          </cell>
          <cell r="U214">
            <v>1811.38</v>
          </cell>
        </row>
        <row r="215">
          <cell r="L215" t="str">
            <v>F.</v>
          </cell>
          <cell r="N215" t="str">
            <v>HARGA SATUAN PEKERJAAN  ( D + E )</v>
          </cell>
          <cell r="U215">
            <v>19925.18</v>
          </cell>
        </row>
        <row r="216">
          <cell r="A216" t="str">
            <v>5.</v>
          </cell>
          <cell r="C216" t="str">
            <v>ANALISA HARGA SATUAN PEKERJAAN</v>
          </cell>
          <cell r="L216" t="str">
            <v>Note: 1</v>
          </cell>
          <cell r="N216" t="str">
            <v>SATUAN dapat berdasarkan atas jam operasi untuk Tenaga Kerja dan Peralatan, volume dan/atau ukuran berat untuk bahan-bahan</v>
          </cell>
        </row>
        <row r="217">
          <cell r="C217" t="str">
            <v>Lihat perhitungan dalam FORMULIR STANDAR UNTUK</v>
          </cell>
          <cell r="L217">
            <v>2</v>
          </cell>
          <cell r="N217" t="str">
            <v>Kuantitas satuan adalah kuantitas setiap komponen untuk menyelesaikan satu satuan pekerjaan dari nomor mata pembayaran</v>
          </cell>
        </row>
        <row r="218">
          <cell r="C218" t="str">
            <v>PEREKAMAN ANALISA MASING-MASING HARGA</v>
          </cell>
          <cell r="L218">
            <v>3</v>
          </cell>
          <cell r="N218" t="str">
            <v>Biaya satuan untuk peralatan sudah termasuk bahan bakar, bahan habis dipakai dan operator.</v>
          </cell>
        </row>
        <row r="219">
          <cell r="C219" t="str">
            <v>SATUAN.</v>
          </cell>
          <cell r="L219">
            <v>4</v>
          </cell>
          <cell r="N219" t="str">
            <v>Biaya satuan sudah termasuk pengeluaran untuk seluruh pajak yang berkaitan (tetapi tidak termasuk PPN yang dibayar dari kontrak )</v>
          </cell>
        </row>
        <row r="220">
          <cell r="N220" t="str">
            <v>dan biaya-biaya lainnya.</v>
          </cell>
        </row>
        <row r="221">
          <cell r="A221" t="str">
            <v>ITEM PEMBAYARAN NO.</v>
          </cell>
          <cell r="C221" t="str">
            <v>Rp.</v>
          </cell>
          <cell r="D221" t="str">
            <v>:  3.1 (5)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  <row r="229">
          <cell r="A229" t="str">
            <v>I.</v>
          </cell>
          <cell r="C229" t="str">
            <v>ASUMSI</v>
          </cell>
        </row>
        <row r="230">
          <cell r="A230">
            <v>1</v>
          </cell>
          <cell r="C230" t="str">
            <v>Pekerjaan dilakukan secara manual</v>
          </cell>
        </row>
        <row r="231">
          <cell r="A231">
            <v>2</v>
          </cell>
          <cell r="C231" t="str">
            <v>Lokasi pekerjaan : sekitar jembatan</v>
          </cell>
        </row>
        <row r="232">
          <cell r="A232">
            <v>3</v>
          </cell>
          <cell r="C232" t="str">
            <v>Kondisi Jalan   :  sedang / baik</v>
          </cell>
        </row>
        <row r="233">
          <cell r="A233">
            <v>4</v>
          </cell>
          <cell r="C233" t="str">
            <v>Jam kerja efektif per-hari</v>
          </cell>
          <cell r="G233" t="str">
            <v>Tk</v>
          </cell>
          <cell r="H233">
            <v>7</v>
          </cell>
          <cell r="I233" t="str">
            <v>Jam</v>
          </cell>
        </row>
        <row r="234">
          <cell r="A234">
            <v>5</v>
          </cell>
          <cell r="C234" t="str">
            <v>Faktor pengembangan bahan</v>
          </cell>
          <cell r="G234" t="str">
            <v>Fh</v>
          </cell>
          <cell r="H234">
            <v>1.2</v>
          </cell>
          <cell r="I234" t="str">
            <v>-</v>
          </cell>
        </row>
        <row r="235">
          <cell r="A235">
            <v>6</v>
          </cell>
          <cell r="C235" t="str">
            <v>Pengurugan kembali (backfill) untuk struktur</v>
          </cell>
          <cell r="G235" t="str">
            <v>Uk</v>
          </cell>
          <cell r="H235">
            <v>25</v>
          </cell>
          <cell r="I235" t="str">
            <v>%/M3</v>
          </cell>
        </row>
        <row r="237">
          <cell r="A237" t="str">
            <v>II.</v>
          </cell>
          <cell r="C237" t="str">
            <v>METHODE PELAKSANAAN</v>
          </cell>
        </row>
        <row r="238">
          <cell r="A238">
            <v>1</v>
          </cell>
          <cell r="C238" t="str">
            <v>Tanah yang dipotong berada disekitar jembatan</v>
          </cell>
        </row>
        <row r="239">
          <cell r="A239">
            <v>2</v>
          </cell>
          <cell r="C239" t="str">
            <v>Penggalian dilakukan dengan menggunakan alat Excavator</v>
          </cell>
        </row>
        <row r="240">
          <cell r="A240">
            <v>3</v>
          </cell>
          <cell r="C240" t="str">
            <v>Bulldozer mengangkut/mengusur hasil galian ke tempat</v>
          </cell>
        </row>
        <row r="241">
          <cell r="C241" t="str">
            <v>pembuangan di sekitar lokasi pekerjaan</v>
          </cell>
          <cell r="G241" t="str">
            <v>L</v>
          </cell>
          <cell r="H241">
            <v>7.4999999999999997E-2</v>
          </cell>
          <cell r="I241" t="str">
            <v>Km</v>
          </cell>
        </row>
        <row r="243">
          <cell r="A243" t="str">
            <v>III.</v>
          </cell>
          <cell r="C243" t="str">
            <v>PEMAKAIAN BAHAN, ALAT DAN TENAGA</v>
          </cell>
        </row>
        <row r="245">
          <cell r="A245" t="str">
            <v xml:space="preserve">   1.</v>
          </cell>
          <cell r="C245" t="str">
            <v>BAHAN</v>
          </cell>
        </row>
        <row r="246">
          <cell r="C246" t="str">
            <v>- Urugan Pilihan (untuk backfill)</v>
          </cell>
          <cell r="E246" t="str">
            <v>= Uk x 1M3</v>
          </cell>
          <cell r="G246" t="str">
            <v>(EI-322)</v>
          </cell>
          <cell r="H246">
            <v>0.25</v>
          </cell>
          <cell r="I246" t="str">
            <v>M3</v>
          </cell>
        </row>
        <row r="248">
          <cell r="A248" t="str">
            <v xml:space="preserve">   2.</v>
          </cell>
          <cell r="C248" t="str">
            <v>ALAT</v>
          </cell>
        </row>
        <row r="249">
          <cell r="A249" t="str">
            <v xml:space="preserve">   2.a.</v>
          </cell>
          <cell r="C249" t="str">
            <v>EXCAVATOR</v>
          </cell>
          <cell r="G249" t="str">
            <v>(E10)</v>
          </cell>
        </row>
        <row r="250">
          <cell r="C250" t="str">
            <v>Kapasitas Bucket</v>
          </cell>
          <cell r="G250" t="str">
            <v>V</v>
          </cell>
          <cell r="H250">
            <v>0.5</v>
          </cell>
          <cell r="I250" t="str">
            <v>M3</v>
          </cell>
        </row>
        <row r="251">
          <cell r="C251" t="str">
            <v>Faktor Bucket</v>
          </cell>
          <cell r="G251" t="str">
            <v>Fb</v>
          </cell>
          <cell r="H251">
            <v>0.9</v>
          </cell>
          <cell r="I251" t="str">
            <v>-</v>
          </cell>
        </row>
        <row r="252">
          <cell r="C252" t="str">
            <v>Faktor  Efisiensi alat</v>
          </cell>
          <cell r="G252" t="str">
            <v>Fa</v>
          </cell>
          <cell r="H252">
            <v>0.83</v>
          </cell>
          <cell r="I252" t="str">
            <v>-</v>
          </cell>
        </row>
        <row r="253">
          <cell r="C253" t="str">
            <v>Faktor kedalaman</v>
          </cell>
          <cell r="G253" t="str">
            <v>Fd</v>
          </cell>
          <cell r="H253">
            <v>0.65</v>
          </cell>
          <cell r="I253" t="str">
            <v>-</v>
          </cell>
        </row>
        <row r="254">
          <cell r="C254" t="str">
            <v>Berat isi material</v>
          </cell>
          <cell r="G254" t="str">
            <v>Bim</v>
          </cell>
          <cell r="H254">
            <v>0.85</v>
          </cell>
          <cell r="I254" t="str">
            <v>-</v>
          </cell>
        </row>
        <row r="255">
          <cell r="C255" t="str">
            <v>Waktu siklus</v>
          </cell>
        </row>
        <row r="256">
          <cell r="C256" t="str">
            <v>- Menggali / memuat</v>
          </cell>
          <cell r="G256" t="str">
            <v>Te1</v>
          </cell>
          <cell r="H256">
            <v>0.25</v>
          </cell>
          <cell r="I256" t="str">
            <v>menit</v>
          </cell>
        </row>
        <row r="257">
          <cell r="C257" t="str">
            <v>- Lain-lain</v>
          </cell>
          <cell r="G257" t="str">
            <v>Te2</v>
          </cell>
          <cell r="H257">
            <v>0.3</v>
          </cell>
          <cell r="I257" t="str">
            <v>menit</v>
          </cell>
        </row>
        <row r="258">
          <cell r="G258" t="str">
            <v>Te</v>
          </cell>
          <cell r="H258">
            <v>0.55000000000000004</v>
          </cell>
          <cell r="I258" t="str">
            <v>menit</v>
          </cell>
        </row>
        <row r="260">
          <cell r="C260" t="str">
            <v>Kap. Prod. / jam =</v>
          </cell>
          <cell r="D260" t="str">
            <v>V  x Fb x Fa x Fd x Bim x 60</v>
          </cell>
          <cell r="G260" t="str">
            <v>Q1</v>
          </cell>
          <cell r="H260">
            <v>18.759899999999998</v>
          </cell>
          <cell r="I260" t="str">
            <v>M3/Jam</v>
          </cell>
        </row>
        <row r="261">
          <cell r="D261" t="str">
            <v>Te x Fh</v>
          </cell>
        </row>
        <row r="263">
          <cell r="C263" t="str">
            <v>Koefisien Alat / M3</v>
          </cell>
          <cell r="D263" t="str">
            <v xml:space="preserve"> =  1  :  Q1</v>
          </cell>
          <cell r="G263" t="str">
            <v>(E10)</v>
          </cell>
          <cell r="H263">
            <v>5.33E-2</v>
          </cell>
          <cell r="I263" t="str">
            <v>Jam</v>
          </cell>
        </row>
        <row r="265">
          <cell r="A265" t="str">
            <v>2.b.</v>
          </cell>
          <cell r="C265" t="str">
            <v>BULLDOZER</v>
          </cell>
          <cell r="G265" t="str">
            <v>(E04)</v>
          </cell>
        </row>
        <row r="266">
          <cell r="C266" t="str">
            <v>Faktor blade</v>
          </cell>
          <cell r="G266" t="str">
            <v>Fb</v>
          </cell>
          <cell r="H266">
            <v>0.9</v>
          </cell>
          <cell r="I266" t="str">
            <v>-</v>
          </cell>
        </row>
        <row r="267">
          <cell r="C267" t="str">
            <v>Faktor  efisiensi alat</v>
          </cell>
          <cell r="G267" t="str">
            <v>Fa</v>
          </cell>
          <cell r="H267">
            <v>0.83</v>
          </cell>
          <cell r="I267" t="str">
            <v>-</v>
          </cell>
        </row>
        <row r="268">
          <cell r="C268" t="str">
            <v>Kecepatan maju</v>
          </cell>
          <cell r="G268" t="str">
            <v>F</v>
          </cell>
          <cell r="H268">
            <v>3</v>
          </cell>
          <cell r="I268" t="str">
            <v>Km/Jam</v>
          </cell>
        </row>
        <row r="269">
          <cell r="C269" t="str">
            <v>Kecepatan mundur</v>
          </cell>
          <cell r="G269" t="str">
            <v>R</v>
          </cell>
          <cell r="H269">
            <v>4</v>
          </cell>
          <cell r="I269" t="str">
            <v>Km/Jam</v>
          </cell>
        </row>
        <row r="270">
          <cell r="C270" t="str">
            <v>Lebar Blade</v>
          </cell>
          <cell r="G270" t="str">
            <v>B</v>
          </cell>
          <cell r="H270">
            <v>3</v>
          </cell>
          <cell r="I270" t="str">
            <v>M</v>
          </cell>
        </row>
        <row r="271">
          <cell r="A271" t="str">
            <v>`</v>
          </cell>
          <cell r="C271" t="str">
            <v>Tinggi blade</v>
          </cell>
          <cell r="G271" t="str">
            <v>H</v>
          </cell>
          <cell r="H271">
            <v>1.2</v>
          </cell>
          <cell r="I271" t="str">
            <v>M</v>
          </cell>
        </row>
        <row r="272">
          <cell r="C272" t="str">
            <v>Jarak Gusur</v>
          </cell>
          <cell r="G272" t="str">
            <v>L</v>
          </cell>
          <cell r="H272">
            <v>75</v>
          </cell>
          <cell r="I272" t="str">
            <v>M</v>
          </cell>
          <cell r="L272">
            <v>2</v>
          </cell>
          <cell r="N272" t="str">
            <v>Kuantitas satuan adalah kuantitas setiap komponen untuk menyelesaikan satu satuan pekerjaan dari nomor mata pembayaran</v>
          </cell>
        </row>
        <row r="273">
          <cell r="C273" t="str">
            <v>Volume 1 kali gusur =</v>
          </cell>
          <cell r="E273" t="str">
            <v>H^2 x B x Fb</v>
          </cell>
          <cell r="G273" t="str">
            <v>V</v>
          </cell>
          <cell r="H273">
            <v>3.89</v>
          </cell>
          <cell r="I273" t="str">
            <v>M3</v>
          </cell>
          <cell r="J273" t="str">
            <v>Loose</v>
          </cell>
          <cell r="L273">
            <v>3</v>
          </cell>
          <cell r="N273" t="str">
            <v>Biaya satuan untuk peralatan sudah termasuk bahan bakar, bahan habis dipakai dan operator.</v>
          </cell>
        </row>
        <row r="274">
          <cell r="L274">
            <v>4</v>
          </cell>
          <cell r="N274" t="str">
            <v>Biaya satuan sudah termasuk pengeluaran untuk seluruh pajak yang berkaitan (tetapi tidak termasuk PPN yang dibayar dari kontrak )</v>
          </cell>
        </row>
        <row r="275">
          <cell r="J275" t="str">
            <v>Berlanjut ke halaman berikut</v>
          </cell>
          <cell r="N275" t="str">
            <v>dan biaya-biaya lainnya.</v>
          </cell>
        </row>
        <row r="276">
          <cell r="A276" t="str">
            <v>ITEM PEMBAYARAN NO.</v>
          </cell>
          <cell r="D276" t="str">
            <v>:  3.1 (5)</v>
          </cell>
          <cell r="J276" t="str">
            <v>Analisa EI-315</v>
          </cell>
        </row>
        <row r="277">
          <cell r="A277" t="str">
            <v>JENIS PEKERJAAN</v>
          </cell>
          <cell r="D277" t="str">
            <v>:  Galian Struktur Kedalaman 2-4 M</v>
          </cell>
        </row>
        <row r="278">
          <cell r="A278" t="str">
            <v>SATUAN PEMBAYARAN</v>
          </cell>
          <cell r="D278" t="str">
            <v>:  M3</v>
          </cell>
          <cell r="H278" t="str">
            <v xml:space="preserve">         URAIAN ANALISA HARGA SATUAN</v>
          </cell>
        </row>
        <row r="279">
          <cell r="J279" t="str">
            <v>Lanjutan</v>
          </cell>
        </row>
        <row r="281">
          <cell r="A281" t="str">
            <v>No.</v>
          </cell>
          <cell r="C281" t="str">
            <v>U R A I A N</v>
          </cell>
          <cell r="G281" t="str">
            <v>KODE</v>
          </cell>
          <cell r="H281" t="str">
            <v>KOEF.</v>
          </cell>
          <cell r="I281" t="str">
            <v>SATUAN</v>
          </cell>
          <cell r="J281" t="str">
            <v>KETERANGAN</v>
          </cell>
        </row>
        <row r="284">
          <cell r="C284" t="str">
            <v>Waktu Siklus</v>
          </cell>
        </row>
        <row r="285">
          <cell r="C285" t="str">
            <v>- Maju</v>
          </cell>
          <cell r="D285" t="str">
            <v>= (L x 60) / (F x 1000)</v>
          </cell>
          <cell r="G285" t="str">
            <v>Tb1</v>
          </cell>
          <cell r="H285">
            <v>1.5</v>
          </cell>
          <cell r="I285" t="str">
            <v>menit</v>
          </cell>
        </row>
        <row r="286">
          <cell r="C286" t="str">
            <v>- Mundur</v>
          </cell>
          <cell r="D286" t="str">
            <v>= (L x 60) / (R x 1000)</v>
          </cell>
          <cell r="G286" t="str">
            <v>Tb2</v>
          </cell>
          <cell r="H286">
            <v>1.125</v>
          </cell>
          <cell r="I286" t="str">
            <v>menit</v>
          </cell>
        </row>
        <row r="287">
          <cell r="C287" t="str">
            <v>- Lain-lain</v>
          </cell>
          <cell r="G287" t="str">
            <v>Tb3</v>
          </cell>
          <cell r="H287">
            <v>0.2</v>
          </cell>
          <cell r="I287" t="str">
            <v>menit</v>
          </cell>
        </row>
        <row r="288">
          <cell r="G288" t="str">
            <v>Tb</v>
          </cell>
          <cell r="H288">
            <v>2.8250000000000002</v>
          </cell>
          <cell r="I288" t="str">
            <v>menit</v>
          </cell>
        </row>
        <row r="290">
          <cell r="C290" t="str">
            <v>Kapasitas Produksi / Jam   =</v>
          </cell>
          <cell r="E290" t="str">
            <v>V x Fa x 60</v>
          </cell>
          <cell r="G290" t="str">
            <v>Q2</v>
          </cell>
          <cell r="H290">
            <v>57.145099999999999</v>
          </cell>
          <cell r="I290" t="str">
            <v xml:space="preserve">M3 / Jam </v>
          </cell>
        </row>
        <row r="291">
          <cell r="E291" t="str">
            <v xml:space="preserve">    Tb x Fh</v>
          </cell>
        </row>
        <row r="293">
          <cell r="C293" t="str">
            <v>Koefisien Alat / M3</v>
          </cell>
          <cell r="D293" t="str">
            <v xml:space="preserve"> =  1  :  Q2</v>
          </cell>
          <cell r="G293" t="str">
            <v>(E04)</v>
          </cell>
          <cell r="H293">
            <v>1.7500000000000002E-2</v>
          </cell>
          <cell r="I293" t="str">
            <v>Jam</v>
          </cell>
        </row>
        <row r="296">
          <cell r="A296" t="str">
            <v>2.c.</v>
          </cell>
          <cell r="C296" t="str">
            <v>ALAT  BANTU</v>
          </cell>
        </row>
        <row r="297">
          <cell r="C297" t="str">
            <v>Diperlukan alat-alat bantu kecil</v>
          </cell>
          <cell r="J297" t="str">
            <v>Lump Sump</v>
          </cell>
        </row>
        <row r="298">
          <cell r="C298" t="str">
            <v>- Pacul</v>
          </cell>
          <cell r="D298" t="str">
            <v>=  2  buah</v>
          </cell>
        </row>
        <row r="299">
          <cell r="C299" t="str">
            <v>- Sekop</v>
          </cell>
          <cell r="D299" t="str">
            <v>=  2  buah</v>
          </cell>
        </row>
        <row r="302">
          <cell r="A302" t="str">
            <v xml:space="preserve">   3.</v>
          </cell>
          <cell r="C302" t="str">
            <v>TENAGA</v>
          </cell>
        </row>
        <row r="303">
          <cell r="C303" t="str">
            <v>Produksi menentukan : EXCAVATOR</v>
          </cell>
          <cell r="G303" t="str">
            <v>Q1</v>
          </cell>
          <cell r="H303">
            <v>18.759899999999998</v>
          </cell>
          <cell r="I303" t="str">
            <v>M3/Jam</v>
          </cell>
        </row>
        <row r="304">
          <cell r="C304" t="str">
            <v>Produksi Galian / hari  =  Tk x Q1</v>
          </cell>
          <cell r="G304" t="str">
            <v>Qt</v>
          </cell>
          <cell r="H304">
            <v>131.3193</v>
          </cell>
          <cell r="I304" t="str">
            <v>M3</v>
          </cell>
        </row>
        <row r="305">
          <cell r="C305" t="str">
            <v>Kebutuhan tenaga :</v>
          </cell>
        </row>
        <row r="306">
          <cell r="D306" t="str">
            <v>- Pekerja</v>
          </cell>
          <cell r="G306" t="str">
            <v>P</v>
          </cell>
          <cell r="H306">
            <v>4</v>
          </cell>
          <cell r="I306" t="str">
            <v>orang</v>
          </cell>
        </row>
        <row r="307">
          <cell r="D307" t="str">
            <v>- Mandor</v>
          </cell>
          <cell r="G307" t="str">
            <v>M</v>
          </cell>
          <cell r="H307">
            <v>1</v>
          </cell>
          <cell r="I307" t="str">
            <v>orang</v>
          </cell>
        </row>
        <row r="309">
          <cell r="C309" t="str">
            <v>Koefisien tenaga / M3   :</v>
          </cell>
        </row>
        <row r="310">
          <cell r="D310" t="str">
            <v>- Pekerja</v>
          </cell>
          <cell r="E310" t="str">
            <v>= (Tk x P) : Qt</v>
          </cell>
          <cell r="G310" t="str">
            <v>(L01)</v>
          </cell>
          <cell r="H310">
            <v>0.2132</v>
          </cell>
          <cell r="I310" t="str">
            <v>Jam</v>
          </cell>
        </row>
        <row r="311">
          <cell r="D311" t="str">
            <v>- Mandor</v>
          </cell>
          <cell r="E311" t="str">
            <v>= (Tk x M) : Qt</v>
          </cell>
          <cell r="G311" t="str">
            <v>(L03)</v>
          </cell>
          <cell r="H311">
            <v>5.33E-2</v>
          </cell>
          <cell r="I311" t="str">
            <v>Jam</v>
          </cell>
        </row>
        <row r="313">
          <cell r="A313" t="str">
            <v>4.</v>
          </cell>
          <cell r="C313" t="str">
            <v>HARGA DASAR SATUAN UPAH, BAHAN DAN ALAT</v>
          </cell>
        </row>
        <row r="314">
          <cell r="C314" t="str">
            <v>Lihat lampiran.</v>
          </cell>
        </row>
        <row r="316">
          <cell r="A316" t="str">
            <v>5.</v>
          </cell>
          <cell r="C316" t="str">
            <v>ANALISA HARGA SATUAN PEKERJAAN</v>
          </cell>
        </row>
        <row r="317">
          <cell r="C317" t="str">
            <v>Lihat perhitungan dalam FORMULIR STANDAR UNTUK</v>
          </cell>
        </row>
        <row r="318">
          <cell r="C318" t="str">
            <v>PEREKEMAN ANALISA MASING-MASING HARGA</v>
          </cell>
        </row>
        <row r="319">
          <cell r="C319" t="str">
            <v>SATUAN.</v>
          </cell>
        </row>
        <row r="320">
          <cell r="C320" t="str">
            <v>Didapat Harga Satuan Pekerjaan :</v>
          </cell>
        </row>
        <row r="322">
          <cell r="C322" t="str">
            <v xml:space="preserve">Rp.  </v>
          </cell>
          <cell r="D322">
            <v>27891.64</v>
          </cell>
          <cell r="E322" t="str">
            <v xml:space="preserve"> / M3</v>
          </cell>
        </row>
        <row r="329">
          <cell r="L329">
            <v>4</v>
          </cell>
          <cell r="N329" t="str">
            <v>Biaya satuan sudah termasuk pengeluaran untuk seluruh pajak yang berkaitan (tetapi tidak termasuk PPN yang dibayar dari kontrak )</v>
          </cell>
        </row>
        <row r="330">
          <cell r="N330" t="str">
            <v>dan biaya-biaya lainnya.</v>
          </cell>
        </row>
        <row r="331">
          <cell r="A331" t="str">
            <v>ITEM PEMBAYARAN NO.</v>
          </cell>
          <cell r="D331" t="str">
            <v>:  3.2 (1)</v>
          </cell>
          <cell r="J331" t="str">
            <v>Analisa EI-321</v>
          </cell>
        </row>
        <row r="332">
          <cell r="A332" t="str">
            <v>JENIS PEKERJAAN</v>
          </cell>
          <cell r="D332" t="str">
            <v>:  Urugan Biasa</v>
          </cell>
        </row>
        <row r="333">
          <cell r="A333" t="str">
            <v>SATUAN PEMBAYARAN</v>
          </cell>
          <cell r="D333" t="str">
            <v>:  M3</v>
          </cell>
          <cell r="H333" t="str">
            <v xml:space="preserve">         URAIAN ANALISA HARGA SATUAN</v>
          </cell>
        </row>
        <row r="336">
          <cell r="A336" t="str">
            <v>No.</v>
          </cell>
          <cell r="C336" t="str">
            <v>U R A I A N</v>
          </cell>
          <cell r="G336" t="str">
            <v>KODE</v>
          </cell>
          <cell r="H336" t="str">
            <v>KOEF.</v>
          </cell>
          <cell r="I336" t="str">
            <v>SATUAN</v>
          </cell>
          <cell r="J336" t="str">
            <v>KETERANGAN</v>
          </cell>
        </row>
        <row r="339">
          <cell r="A339" t="str">
            <v>I.</v>
          </cell>
          <cell r="C339" t="str">
            <v>ASUMSI</v>
          </cell>
        </row>
        <row r="340">
          <cell r="A340">
            <v>1</v>
          </cell>
          <cell r="C340" t="str">
            <v>Pekerjaan dilakukan secara mekanis</v>
          </cell>
        </row>
        <row r="341">
          <cell r="A341">
            <v>2</v>
          </cell>
          <cell r="C341" t="str">
            <v>Lokasi pekerjaan : Sekitar Jembatan</v>
          </cell>
        </row>
        <row r="342">
          <cell r="A342">
            <v>3</v>
          </cell>
          <cell r="C342" t="str">
            <v>Kondisi Jalan   :  sedang / baik</v>
          </cell>
        </row>
        <row r="343">
          <cell r="A343">
            <v>4</v>
          </cell>
          <cell r="C343" t="str">
            <v>Jam kerja efektif per-hari</v>
          </cell>
          <cell r="G343" t="str">
            <v>Tk</v>
          </cell>
          <cell r="H343">
            <v>7</v>
          </cell>
          <cell r="I343" t="str">
            <v>Jam</v>
          </cell>
        </row>
        <row r="344">
          <cell r="A344">
            <v>5</v>
          </cell>
          <cell r="C344" t="str">
            <v>Faktor pengembangan bahan</v>
          </cell>
          <cell r="G344" t="str">
            <v>Fk</v>
          </cell>
          <cell r="H344">
            <v>1.2</v>
          </cell>
          <cell r="I344" t="str">
            <v>-</v>
          </cell>
        </row>
        <row r="345">
          <cell r="A345">
            <v>6</v>
          </cell>
          <cell r="C345" t="str">
            <v>Tebal hamparan padat</v>
          </cell>
          <cell r="G345" t="str">
            <v>t</v>
          </cell>
          <cell r="H345">
            <v>0.15</v>
          </cell>
          <cell r="I345" t="str">
            <v>M</v>
          </cell>
        </row>
        <row r="347">
          <cell r="A347" t="str">
            <v>II.</v>
          </cell>
          <cell r="C347" t="str">
            <v>URUTAN KERJA</v>
          </cell>
        </row>
        <row r="348">
          <cell r="A348">
            <v>1</v>
          </cell>
          <cell r="C348" t="str">
            <v>Whell Loader memuat ke dalam Dump Truck</v>
          </cell>
        </row>
        <row r="349">
          <cell r="A349">
            <v>2</v>
          </cell>
          <cell r="C349" t="str">
            <v>Dump Truck mengangkut ke lapangan dengan jarak</v>
          </cell>
        </row>
        <row r="350">
          <cell r="C350" t="str">
            <v>quari ke lapangan</v>
          </cell>
          <cell r="G350" t="str">
            <v>L</v>
          </cell>
          <cell r="H350">
            <v>1</v>
          </cell>
          <cell r="I350" t="str">
            <v>Km</v>
          </cell>
        </row>
        <row r="351">
          <cell r="A351">
            <v>3</v>
          </cell>
          <cell r="C351" t="str">
            <v>Material dihampar dengan menggunakan Motor Grader</v>
          </cell>
        </row>
        <row r="352">
          <cell r="A352">
            <v>4</v>
          </cell>
          <cell r="C352" t="str">
            <v>Hamparan material disiram air dengan Watertank Truck</v>
          </cell>
        </row>
        <row r="353">
          <cell r="C353" t="str">
            <v>(sebelum pelaksanaan pemadatan) dan dipadatkan</v>
          </cell>
        </row>
        <row r="354">
          <cell r="C354" t="str">
            <v>dengan menggunakan Vibro Roller</v>
          </cell>
        </row>
        <row r="355">
          <cell r="A355">
            <v>5</v>
          </cell>
          <cell r="C355" t="str">
            <v>Selama pemadatan sekelompok pekerja  akan merapikan tepi</v>
          </cell>
        </row>
        <row r="356">
          <cell r="C356" t="str">
            <v>hamparan dan level permukaan menggunakan alat bantu</v>
          </cell>
        </row>
        <row r="358">
          <cell r="A358" t="str">
            <v>III.</v>
          </cell>
          <cell r="C358" t="str">
            <v>PEMAKAIAN BAHAN, ALAT DAN TENAGA</v>
          </cell>
        </row>
        <row r="359">
          <cell r="A359" t="str">
            <v xml:space="preserve">   1.</v>
          </cell>
          <cell r="C359" t="str">
            <v>BAHAN</v>
          </cell>
        </row>
        <row r="360">
          <cell r="A360" t="str">
            <v>1.a.</v>
          </cell>
          <cell r="C360" t="str">
            <v>Material timbunan</v>
          </cell>
          <cell r="D360" t="str">
            <v xml:space="preserve"> =  1 x  Fk</v>
          </cell>
          <cell r="G360" t="str">
            <v>(M08)</v>
          </cell>
          <cell r="H360">
            <v>1.2</v>
          </cell>
          <cell r="I360" t="str">
            <v>M3</v>
          </cell>
          <cell r="J360" t="str">
            <v xml:space="preserve"> Borrow Pit</v>
          </cell>
        </row>
        <row r="361">
          <cell r="A361" t="str">
            <v xml:space="preserve">   2.</v>
          </cell>
          <cell r="C361" t="str">
            <v>ALAT</v>
          </cell>
        </row>
        <row r="362">
          <cell r="A362" t="str">
            <v>2.a.</v>
          </cell>
          <cell r="C362" t="str">
            <v>WHELL  LOADER</v>
          </cell>
          <cell r="G362" t="str">
            <v>(E15)</v>
          </cell>
        </row>
        <row r="363">
          <cell r="C363" t="str">
            <v>Kapasitas  Bucket</v>
          </cell>
          <cell r="G363" t="str">
            <v>V</v>
          </cell>
          <cell r="H363">
            <v>1.5</v>
          </cell>
          <cell r="I363" t="str">
            <v>M3</v>
          </cell>
        </row>
        <row r="364">
          <cell r="C364" t="str">
            <v>Faktor Bucket</v>
          </cell>
          <cell r="G364" t="str">
            <v>Fb</v>
          </cell>
          <cell r="H364">
            <v>0.9</v>
          </cell>
          <cell r="I364" t="str">
            <v>-</v>
          </cell>
        </row>
        <row r="365">
          <cell r="C365" t="str">
            <v>Faktor Efisiensi Alat</v>
          </cell>
          <cell r="G365" t="str">
            <v>Fa</v>
          </cell>
          <cell r="H365">
            <v>0.83</v>
          </cell>
          <cell r="I365" t="str">
            <v>-</v>
          </cell>
        </row>
        <row r="366">
          <cell r="C366" t="str">
            <v>Waktu sklus</v>
          </cell>
          <cell r="G366" t="str">
            <v>Ts1</v>
          </cell>
          <cell r="I366" t="str">
            <v>menit</v>
          </cell>
        </row>
        <row r="367">
          <cell r="C367" t="str">
            <v>- Muat</v>
          </cell>
          <cell r="G367" t="str">
            <v>T1</v>
          </cell>
          <cell r="H367">
            <v>0.4</v>
          </cell>
          <cell r="I367" t="str">
            <v>menit</v>
          </cell>
        </row>
        <row r="368">
          <cell r="C368" t="str">
            <v>- Lain-lain</v>
          </cell>
          <cell r="G368" t="str">
            <v>T2</v>
          </cell>
          <cell r="H368">
            <v>0.4</v>
          </cell>
          <cell r="I368" t="str">
            <v>menit</v>
          </cell>
        </row>
        <row r="369">
          <cell r="G369" t="str">
            <v>Ts1</v>
          </cell>
          <cell r="H369">
            <v>0.8</v>
          </cell>
          <cell r="I369" t="str">
            <v>menit</v>
          </cell>
        </row>
        <row r="370">
          <cell r="C370" t="str">
            <v>Kapasitas Produksi / Jam =</v>
          </cell>
          <cell r="E370" t="str">
            <v>V  x  Fb x Fa x 60</v>
          </cell>
          <cell r="G370" t="str">
            <v>Q1</v>
          </cell>
          <cell r="H370">
            <v>70.031300000000002</v>
          </cell>
          <cell r="I370" t="str">
            <v>M3</v>
          </cell>
        </row>
        <row r="371">
          <cell r="E371" t="str">
            <v xml:space="preserve">      Fk x Ts1</v>
          </cell>
        </row>
        <row r="372">
          <cell r="C372" t="str">
            <v>Koefisienalat / M3</v>
          </cell>
          <cell r="D372" t="str">
            <v xml:space="preserve"> =   1 : Q1</v>
          </cell>
          <cell r="G372" t="str">
            <v>(E15)</v>
          </cell>
          <cell r="H372">
            <v>1.43E-2</v>
          </cell>
          <cell r="I372" t="str">
            <v>Jam</v>
          </cell>
        </row>
        <row r="374">
          <cell r="A374" t="str">
            <v xml:space="preserve">   2.b.</v>
          </cell>
          <cell r="C374" t="str">
            <v>DUMP TRUCK</v>
          </cell>
          <cell r="G374" t="str">
            <v>(E08)</v>
          </cell>
        </row>
        <row r="375">
          <cell r="C375" t="str">
            <v>Kapasitas bak</v>
          </cell>
          <cell r="G375" t="str">
            <v>V</v>
          </cell>
          <cell r="H375">
            <v>4</v>
          </cell>
          <cell r="I375" t="str">
            <v>M3</v>
          </cell>
        </row>
        <row r="376">
          <cell r="C376" t="str">
            <v>Faktor  efisiensi alat</v>
          </cell>
          <cell r="G376" t="str">
            <v>Fa</v>
          </cell>
          <cell r="H376">
            <v>0.83</v>
          </cell>
          <cell r="I376" t="str">
            <v>-</v>
          </cell>
        </row>
        <row r="377">
          <cell r="C377" t="str">
            <v>Kecepatan rata-rata bermuatan</v>
          </cell>
          <cell r="G377" t="str">
            <v>v1</v>
          </cell>
          <cell r="H377">
            <v>40</v>
          </cell>
          <cell r="I377" t="str">
            <v>KM/Jam</v>
          </cell>
        </row>
        <row r="378">
          <cell r="C378" t="str">
            <v>Kecepatan rata-rata kosong</v>
          </cell>
          <cell r="G378" t="str">
            <v>v2</v>
          </cell>
          <cell r="H378">
            <v>60</v>
          </cell>
          <cell r="I378" t="str">
            <v>KM/Jam</v>
          </cell>
        </row>
        <row r="379">
          <cell r="C379" t="str">
            <v>Waktusiklus :</v>
          </cell>
          <cell r="G379" t="str">
            <v>Ts2</v>
          </cell>
        </row>
        <row r="380">
          <cell r="C380" t="str">
            <v>-  Waktu tempuh isi   = (L : v1) x 60</v>
          </cell>
          <cell r="G380" t="str">
            <v>T1</v>
          </cell>
          <cell r="H380">
            <v>1.5</v>
          </cell>
          <cell r="I380" t="str">
            <v>menit</v>
          </cell>
        </row>
        <row r="381">
          <cell r="C381" t="str">
            <v>-  Waktu tempuh kosong   = (L : v2) x 60</v>
          </cell>
          <cell r="G381" t="str">
            <v>T2</v>
          </cell>
          <cell r="H381">
            <v>1</v>
          </cell>
          <cell r="I381" t="str">
            <v>menit</v>
          </cell>
        </row>
        <row r="382">
          <cell r="C382" t="str">
            <v>- Lain-lain</v>
          </cell>
          <cell r="G382" t="str">
            <v>T3</v>
          </cell>
          <cell r="H382">
            <v>3</v>
          </cell>
          <cell r="I382" t="str">
            <v>menit</v>
          </cell>
        </row>
        <row r="383">
          <cell r="G383" t="str">
            <v>Ts2</v>
          </cell>
          <cell r="H383">
            <v>5.5</v>
          </cell>
          <cell r="I383" t="str">
            <v>menit</v>
          </cell>
        </row>
        <row r="385">
          <cell r="J385" t="str">
            <v>Berlanjut ke halaman berikut</v>
          </cell>
        </row>
        <row r="386">
          <cell r="A386" t="str">
            <v>ITEM PEMBAYARAN NO.</v>
          </cell>
          <cell r="D386" t="str">
            <v>:  3.2 (1)</v>
          </cell>
          <cell r="J386" t="str">
            <v>Analisa EI-321</v>
          </cell>
        </row>
        <row r="387">
          <cell r="A387" t="str">
            <v>JENIS PEKERJAAN</v>
          </cell>
          <cell r="D387" t="str">
            <v>:  Urugan Biasa</v>
          </cell>
        </row>
        <row r="388">
          <cell r="A388" t="str">
            <v>SATUAN PEMBAYARAN</v>
          </cell>
          <cell r="D388" t="str">
            <v>:  M3</v>
          </cell>
          <cell r="H388" t="str">
            <v xml:space="preserve">         URAIAN ANALISA HARGA SATUAN</v>
          </cell>
        </row>
        <row r="389">
          <cell r="J389" t="str">
            <v>Lanjutan</v>
          </cell>
        </row>
        <row r="391">
          <cell r="A391" t="str">
            <v>No.</v>
          </cell>
          <cell r="C391" t="str">
            <v>U R A I A N</v>
          </cell>
          <cell r="G391" t="str">
            <v>KODE</v>
          </cell>
          <cell r="H391" t="str">
            <v>KOEF.</v>
          </cell>
          <cell r="I391" t="str">
            <v>SATUAN</v>
          </cell>
          <cell r="J391" t="str">
            <v>KETERANGAN</v>
          </cell>
        </row>
        <row r="394">
          <cell r="C394" t="str">
            <v>Kapasitas Produksi / Jam   =</v>
          </cell>
          <cell r="E394" t="str">
            <v>V x Fa x 60</v>
          </cell>
          <cell r="G394" t="str">
            <v>Q2</v>
          </cell>
          <cell r="H394">
            <v>30.181799999999999</v>
          </cell>
          <cell r="I394" t="str">
            <v>M3</v>
          </cell>
        </row>
        <row r="395">
          <cell r="E395" t="str">
            <v xml:space="preserve">    Fk x Ts2</v>
          </cell>
        </row>
        <row r="397">
          <cell r="C397" t="str">
            <v>Koefisien Alat / M3</v>
          </cell>
          <cell r="D397" t="str">
            <v xml:space="preserve"> =  1  :  Q2</v>
          </cell>
          <cell r="G397" t="str">
            <v>(E08)</v>
          </cell>
          <cell r="H397">
            <v>3.3099999999999997E-2</v>
          </cell>
          <cell r="I397" t="str">
            <v>Jam</v>
          </cell>
        </row>
        <row r="399">
          <cell r="A399" t="str">
            <v>2.c.</v>
          </cell>
          <cell r="C399" t="str">
            <v>MOTOR GRADER</v>
          </cell>
          <cell r="G399" t="str">
            <v>(E13)</v>
          </cell>
        </row>
        <row r="400">
          <cell r="C400" t="str">
            <v>Panjang hamparan</v>
          </cell>
          <cell r="G400" t="str">
            <v>Lh</v>
          </cell>
          <cell r="H400">
            <v>50</v>
          </cell>
          <cell r="I400" t="str">
            <v>M</v>
          </cell>
        </row>
        <row r="401">
          <cell r="C401" t="str">
            <v>Lebar Efektif kerja Blade</v>
          </cell>
          <cell r="G401" t="str">
            <v>b</v>
          </cell>
          <cell r="H401">
            <v>2.4</v>
          </cell>
          <cell r="I401" t="str">
            <v>M</v>
          </cell>
        </row>
        <row r="402">
          <cell r="C402" t="str">
            <v>Faktor 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Kecepatan rata-rata alat</v>
          </cell>
          <cell r="G403" t="str">
            <v>v</v>
          </cell>
          <cell r="H403">
            <v>4</v>
          </cell>
          <cell r="I403" t="str">
            <v>Km / Jam</v>
          </cell>
        </row>
        <row r="404">
          <cell r="C404" t="str">
            <v>Jumlah lintasan</v>
          </cell>
          <cell r="G404" t="str">
            <v>n</v>
          </cell>
          <cell r="H404">
            <v>6</v>
          </cell>
          <cell r="I404" t="str">
            <v>lintasan</v>
          </cell>
        </row>
        <row r="405">
          <cell r="C405" t="str">
            <v>Waktu siklus</v>
          </cell>
          <cell r="G405" t="str">
            <v>Ts3</v>
          </cell>
        </row>
        <row r="406">
          <cell r="C406" t="str">
            <v>- Perataan 1 kali lintasan    = Lh : (v x 1000) x 60</v>
          </cell>
          <cell r="G406" t="str">
            <v>T1</v>
          </cell>
          <cell r="H406">
            <v>0.75</v>
          </cell>
          <cell r="I406" t="str">
            <v>menit</v>
          </cell>
        </row>
        <row r="407">
          <cell r="C407" t="str">
            <v>- Lain-lain</v>
          </cell>
          <cell r="G407" t="str">
            <v>T2</v>
          </cell>
          <cell r="H407">
            <v>1</v>
          </cell>
          <cell r="I407" t="str">
            <v>menit</v>
          </cell>
        </row>
        <row r="408">
          <cell r="G408" t="str">
            <v>Ts3</v>
          </cell>
          <cell r="H408">
            <v>1.75</v>
          </cell>
          <cell r="I408" t="str">
            <v>menit</v>
          </cell>
        </row>
        <row r="410">
          <cell r="C410" t="str">
            <v>Kapasitas Produksi / Jam   =</v>
          </cell>
          <cell r="E410" t="str">
            <v>Lh x b x t x Fa x 60</v>
          </cell>
          <cell r="G410" t="str">
            <v>Q3</v>
          </cell>
          <cell r="H410">
            <v>85.371399999999994</v>
          </cell>
          <cell r="I410" t="str">
            <v>M3</v>
          </cell>
        </row>
        <row r="411">
          <cell r="E411" t="str">
            <v xml:space="preserve">      n x Ts3</v>
          </cell>
        </row>
        <row r="412">
          <cell r="C412" t="str">
            <v>Koefisien Alat / M3</v>
          </cell>
          <cell r="D412" t="str">
            <v xml:space="preserve"> =  1  :  Q3</v>
          </cell>
          <cell r="G412" t="str">
            <v>(E13)</v>
          </cell>
          <cell r="H412">
            <v>1.17E-2</v>
          </cell>
          <cell r="I412" t="str">
            <v>Jam</v>
          </cell>
        </row>
        <row r="414">
          <cell r="A414" t="str">
            <v>2.d.</v>
          </cell>
          <cell r="C414" t="str">
            <v>VIBRATOR ROLLER</v>
          </cell>
          <cell r="G414" t="str">
            <v>(E19)</v>
          </cell>
        </row>
        <row r="415">
          <cell r="C415" t="str">
            <v>Kecepatan rata-rata alat</v>
          </cell>
          <cell r="G415" t="str">
            <v>v</v>
          </cell>
          <cell r="H415">
            <v>2.5</v>
          </cell>
          <cell r="I415" t="str">
            <v>Km / Jam</v>
          </cell>
        </row>
        <row r="416">
          <cell r="C416" t="str">
            <v>Lebar efektif pemadatan</v>
          </cell>
          <cell r="G416" t="str">
            <v>b</v>
          </cell>
          <cell r="H416">
            <v>1.2</v>
          </cell>
          <cell r="I416" t="str">
            <v>M</v>
          </cell>
        </row>
        <row r="417">
          <cell r="C417" t="str">
            <v>Jumlah lintasan</v>
          </cell>
          <cell r="G417" t="str">
            <v>n</v>
          </cell>
          <cell r="H417">
            <v>8</v>
          </cell>
          <cell r="I417" t="str">
            <v>lintasan</v>
          </cell>
        </row>
        <row r="418">
          <cell r="C418" t="str">
            <v>Faktor efisiensi alat</v>
          </cell>
          <cell r="G418" t="str">
            <v>Fa</v>
          </cell>
          <cell r="H418">
            <v>0.83</v>
          </cell>
          <cell r="I418" t="str">
            <v>-</v>
          </cell>
        </row>
        <row r="420">
          <cell r="C420" t="str">
            <v>Kapasitas Prod./Jam   =</v>
          </cell>
          <cell r="D420" t="str">
            <v>(v x 1000) x b x t x Fa</v>
          </cell>
          <cell r="G420" t="str">
            <v>Q4</v>
          </cell>
          <cell r="H420">
            <v>46.6875</v>
          </cell>
          <cell r="I420" t="str">
            <v>M3</v>
          </cell>
        </row>
        <row r="421">
          <cell r="D421" t="str">
            <v>n</v>
          </cell>
        </row>
        <row r="423">
          <cell r="C423" t="str">
            <v>Koefisien Alat / M3</v>
          </cell>
          <cell r="D423" t="str">
            <v xml:space="preserve"> =  1  :  Q4</v>
          </cell>
          <cell r="G423" t="str">
            <v>(E19)</v>
          </cell>
          <cell r="H423">
            <v>2.1399999999999999E-2</v>
          </cell>
          <cell r="I423" t="str">
            <v>Jam</v>
          </cell>
        </row>
        <row r="425">
          <cell r="A425" t="str">
            <v>2.e.</v>
          </cell>
          <cell r="C425" t="str">
            <v>WATER TANK TRUCK</v>
          </cell>
          <cell r="G425" t="str">
            <v>(E23)</v>
          </cell>
        </row>
        <row r="426">
          <cell r="C426" t="str">
            <v>Volume tangki air</v>
          </cell>
          <cell r="G426" t="str">
            <v>V</v>
          </cell>
          <cell r="H426">
            <v>4</v>
          </cell>
          <cell r="I426" t="str">
            <v>M3</v>
          </cell>
        </row>
        <row r="427">
          <cell r="C427" t="str">
            <v>Kebutuhan air / M3 material padat</v>
          </cell>
          <cell r="G427" t="str">
            <v>Wc</v>
          </cell>
          <cell r="H427">
            <v>7.0000000000000007E-2</v>
          </cell>
          <cell r="I427" t="str">
            <v>M3</v>
          </cell>
        </row>
        <row r="428">
          <cell r="C428" t="str">
            <v>Pengisian Tangki / jam</v>
          </cell>
          <cell r="G428" t="str">
            <v>n</v>
          </cell>
          <cell r="H428">
            <v>1</v>
          </cell>
          <cell r="I428" t="str">
            <v>kali</v>
          </cell>
        </row>
        <row r="429">
          <cell r="C429" t="str">
            <v>Faktor efisiensi alat</v>
          </cell>
          <cell r="G429" t="str">
            <v>Fa</v>
          </cell>
          <cell r="H429">
            <v>0.83</v>
          </cell>
          <cell r="I429" t="str">
            <v>-</v>
          </cell>
          <cell r="J429" t="str">
            <v>Baik</v>
          </cell>
        </row>
        <row r="431">
          <cell r="C431" t="str">
            <v>Kapasitas Produksi / Jam   =</v>
          </cell>
          <cell r="E431" t="str">
            <v>V  x  n x Fa</v>
          </cell>
          <cell r="G431" t="str">
            <v>Q5</v>
          </cell>
          <cell r="H431">
            <v>47.428600000000003</v>
          </cell>
          <cell r="I431" t="str">
            <v>M3</v>
          </cell>
        </row>
        <row r="432">
          <cell r="E432" t="str">
            <v xml:space="preserve">     Wc</v>
          </cell>
        </row>
        <row r="434">
          <cell r="C434" t="str">
            <v>Koefisien Alat / M3</v>
          </cell>
          <cell r="D434" t="str">
            <v xml:space="preserve"> =  1  :  Q5</v>
          </cell>
          <cell r="G434" t="str">
            <v>(E23)</v>
          </cell>
          <cell r="H434">
            <v>2.1100000000000001E-2</v>
          </cell>
          <cell r="I434" t="str">
            <v>Jam</v>
          </cell>
        </row>
        <row r="436">
          <cell r="A436" t="str">
            <v>2.f.</v>
          </cell>
          <cell r="C436" t="str">
            <v>ALAT  BANTU</v>
          </cell>
        </row>
        <row r="437">
          <cell r="C437" t="str">
            <v>Diperlukan alat-alat bantu kecil</v>
          </cell>
          <cell r="J437" t="str">
            <v>Lump Sump</v>
          </cell>
        </row>
        <row r="438">
          <cell r="C438" t="str">
            <v>- Sekop    =         3   buah</v>
          </cell>
        </row>
        <row r="440">
          <cell r="J440" t="str">
            <v>Berlanjut ke halaman berikut</v>
          </cell>
        </row>
        <row r="441">
          <cell r="A441" t="str">
            <v>ITEM PEMBAYARAN NO.</v>
          </cell>
          <cell r="D441" t="str">
            <v>:  3.2 (1)</v>
          </cell>
          <cell r="J441" t="str">
            <v>Analisa EI-321</v>
          </cell>
        </row>
        <row r="442">
          <cell r="A442" t="str">
            <v>JENIS PEKERJAAN</v>
          </cell>
          <cell r="D442" t="str">
            <v>:  Urugan Biasa</v>
          </cell>
        </row>
        <row r="443">
          <cell r="A443" t="str">
            <v>SATUAN PEMBAYARAN</v>
          </cell>
          <cell r="D443" t="str">
            <v>:  M3</v>
          </cell>
          <cell r="H443" t="str">
            <v xml:space="preserve">         URAIAN ANALISA HARGA SATUAN</v>
          </cell>
        </row>
        <row r="444">
          <cell r="J444" t="str">
            <v>Lanjutan</v>
          </cell>
        </row>
        <row r="446">
          <cell r="A446" t="str">
            <v>No.</v>
          </cell>
          <cell r="C446" t="str">
            <v>U R A I A N</v>
          </cell>
          <cell r="G446" t="str">
            <v>KODE</v>
          </cell>
          <cell r="H446" t="str">
            <v>KOEF.</v>
          </cell>
          <cell r="I446" t="str">
            <v>SATUAN</v>
          </cell>
          <cell r="J446" t="str">
            <v>KETERANGAN</v>
          </cell>
        </row>
        <row r="449">
          <cell r="A449" t="str">
            <v xml:space="preserve">   3.</v>
          </cell>
          <cell r="C449" t="str">
            <v>TENAGA</v>
          </cell>
        </row>
        <row r="450">
          <cell r="C450" t="str">
            <v>Produksi menentukan : WHELL LOADER</v>
          </cell>
          <cell r="G450" t="str">
            <v>Q1</v>
          </cell>
          <cell r="H450">
            <v>70.031300000000002</v>
          </cell>
          <cell r="I450" t="str">
            <v>M3/Jam</v>
          </cell>
        </row>
        <row r="451">
          <cell r="C451" t="str">
            <v>Produksi Galian / hari  =  Tk x Q1</v>
          </cell>
          <cell r="G451" t="str">
            <v>Qt</v>
          </cell>
          <cell r="H451">
            <v>490.21910000000003</v>
          </cell>
          <cell r="I451" t="str">
            <v>M3</v>
          </cell>
        </row>
        <row r="452">
          <cell r="C452" t="str">
            <v>Kebutuhan tenaga :</v>
          </cell>
        </row>
        <row r="453">
          <cell r="D453" t="str">
            <v>- Pekerja</v>
          </cell>
          <cell r="G453" t="str">
            <v>P</v>
          </cell>
          <cell r="H453">
            <v>4</v>
          </cell>
          <cell r="I453" t="str">
            <v>orang</v>
          </cell>
        </row>
        <row r="454">
          <cell r="D454" t="str">
            <v>- Mandor</v>
          </cell>
          <cell r="G454" t="str">
            <v>M</v>
          </cell>
          <cell r="H454">
            <v>1</v>
          </cell>
          <cell r="I454" t="str">
            <v>orang</v>
          </cell>
        </row>
        <row r="457">
          <cell r="C457" t="str">
            <v>Koefisien tenaga / M3   :</v>
          </cell>
        </row>
        <row r="458">
          <cell r="D458" t="str">
            <v>- Pekerja</v>
          </cell>
          <cell r="E458" t="str">
            <v>= (Tk x P) : Qt</v>
          </cell>
          <cell r="G458" t="str">
            <v>(L01)</v>
          </cell>
          <cell r="H458">
            <v>5.7099999999999998E-2</v>
          </cell>
          <cell r="I458" t="str">
            <v>Jam</v>
          </cell>
        </row>
        <row r="459">
          <cell r="D459" t="str">
            <v>- Mandor</v>
          </cell>
          <cell r="E459" t="str">
            <v>= (Tk x M) : Qt</v>
          </cell>
          <cell r="G459" t="str">
            <v>(L03)</v>
          </cell>
          <cell r="H459">
            <v>1.43E-2</v>
          </cell>
          <cell r="I459" t="str">
            <v>Jam</v>
          </cell>
        </row>
        <row r="462">
          <cell r="A462" t="str">
            <v>4.</v>
          </cell>
          <cell r="C462" t="str">
            <v>HARGA DASAR SATUAN UPAH, BAHAN DAN ALAT</v>
          </cell>
        </row>
        <row r="463">
          <cell r="C463" t="str">
            <v>Lihat lampiran.</v>
          </cell>
        </row>
        <row r="466">
          <cell r="A466" t="str">
            <v>5.</v>
          </cell>
          <cell r="C466" t="str">
            <v>ANALISA HARGA SATUAN PEKERJAAN</v>
          </cell>
        </row>
        <row r="467">
          <cell r="C467" t="str">
            <v>Lihat perhitungan dalam FORMULIR STANDAR UNTUK</v>
          </cell>
        </row>
        <row r="468">
          <cell r="C468" t="str">
            <v>PEREKEMAN ANALISA MASING-MASING HARGA</v>
          </cell>
        </row>
        <row r="469">
          <cell r="C469" t="str">
            <v>SATUAN.</v>
          </cell>
        </row>
        <row r="470">
          <cell r="C470" t="str">
            <v>Didapat Harga Satuan Pekerjaan :</v>
          </cell>
        </row>
        <row r="472">
          <cell r="C472" t="str">
            <v xml:space="preserve">Rp.  </v>
          </cell>
          <cell r="D472">
            <v>19925.18</v>
          </cell>
          <cell r="E472" t="str">
            <v xml:space="preserve"> / M3</v>
          </cell>
        </row>
        <row r="496">
          <cell r="A496" t="str">
            <v>ITEM PEMBAYARAN NO.</v>
          </cell>
          <cell r="D496" t="str">
            <v>:  3.2 (2)</v>
          </cell>
          <cell r="J496" t="str">
            <v>Analisa EI-322</v>
          </cell>
        </row>
        <row r="497">
          <cell r="A497" t="str">
            <v>JENIS PEKERJAAN</v>
          </cell>
          <cell r="D497" t="str">
            <v>:  Urugan Pilihan</v>
          </cell>
        </row>
        <row r="498">
          <cell r="A498" t="str">
            <v>SATUAN PEMBAYARAN</v>
          </cell>
          <cell r="D498" t="str">
            <v>:  M3</v>
          </cell>
          <cell r="H498" t="str">
            <v xml:space="preserve">         URAIAN ANALISA HARGA SATUAN</v>
          </cell>
        </row>
        <row r="501">
          <cell r="A501" t="str">
            <v>No.</v>
          </cell>
          <cell r="C501" t="str">
            <v>U R A I A N</v>
          </cell>
          <cell r="G501" t="str">
            <v>KODE</v>
          </cell>
          <cell r="H501" t="str">
            <v>KOEF.</v>
          </cell>
          <cell r="I501" t="str">
            <v>SATUAN</v>
          </cell>
          <cell r="J501" t="str">
            <v>KETERANGAN</v>
          </cell>
        </row>
        <row r="504">
          <cell r="A504" t="str">
            <v>I.</v>
          </cell>
          <cell r="C504" t="str">
            <v>ASUMSI</v>
          </cell>
        </row>
        <row r="505">
          <cell r="A505">
            <v>1</v>
          </cell>
          <cell r="C505" t="str">
            <v>Pekerjaan dilakukan secara mekanis</v>
          </cell>
        </row>
        <row r="506">
          <cell r="A506">
            <v>2</v>
          </cell>
          <cell r="C506" t="str">
            <v>Lokasi pekerjaan : Sekitar Jembatan</v>
          </cell>
        </row>
        <row r="507">
          <cell r="A507">
            <v>3</v>
          </cell>
          <cell r="C507" t="str">
            <v>Kondisi Jalan   :  sedang / baik</v>
          </cell>
        </row>
        <row r="508">
          <cell r="A508">
            <v>4</v>
          </cell>
          <cell r="C508" t="str">
            <v>Jam kerja efektif per-hari</v>
          </cell>
          <cell r="G508" t="str">
            <v>Tk</v>
          </cell>
          <cell r="H508">
            <v>7</v>
          </cell>
          <cell r="I508" t="str">
            <v>Jam</v>
          </cell>
        </row>
        <row r="509">
          <cell r="A509">
            <v>5</v>
          </cell>
          <cell r="C509" t="str">
            <v>Faktor pengembangan bahan</v>
          </cell>
          <cell r="G509" t="str">
            <v>Fk</v>
          </cell>
          <cell r="H509">
            <v>1.2</v>
          </cell>
          <cell r="I509" t="str">
            <v>-</v>
          </cell>
        </row>
        <row r="510">
          <cell r="A510">
            <v>6</v>
          </cell>
          <cell r="C510" t="str">
            <v>Tebal hamparan padat</v>
          </cell>
          <cell r="G510" t="str">
            <v>t</v>
          </cell>
          <cell r="H510">
            <v>0.15</v>
          </cell>
          <cell r="I510" t="str">
            <v>M</v>
          </cell>
        </row>
        <row r="511">
          <cell r="A511" t="str">
            <v>II.</v>
          </cell>
          <cell r="C511" t="str">
            <v>URUTAN KERJA</v>
          </cell>
        </row>
        <row r="512">
          <cell r="A512">
            <v>1</v>
          </cell>
          <cell r="C512" t="str">
            <v>Whell Loader memuat ke dalam Dump Truck</v>
          </cell>
        </row>
        <row r="513">
          <cell r="A513">
            <v>2</v>
          </cell>
          <cell r="C513" t="str">
            <v>Dump Truck mengangkut ke lapangan dengan jarak</v>
          </cell>
        </row>
        <row r="514">
          <cell r="C514" t="str">
            <v>quari ke lapangan</v>
          </cell>
          <cell r="G514" t="str">
            <v>L</v>
          </cell>
          <cell r="H514">
            <v>2</v>
          </cell>
          <cell r="I514" t="str">
            <v>Km</v>
          </cell>
        </row>
        <row r="515">
          <cell r="A515">
            <v>3</v>
          </cell>
          <cell r="C515" t="str">
            <v>Material dihampar dengan menggunakan Motor Grader</v>
          </cell>
        </row>
        <row r="516">
          <cell r="A516">
            <v>4</v>
          </cell>
          <cell r="C516" t="str">
            <v>Hamparan material disiram air dengan Watertank Truck</v>
          </cell>
        </row>
        <row r="517">
          <cell r="C517" t="str">
            <v>(sebelum pelaksanaan pemadatan) dan dipadatkan</v>
          </cell>
        </row>
        <row r="518">
          <cell r="C518" t="str">
            <v>dengan menggunakan Vibro Roller</v>
          </cell>
        </row>
        <row r="519">
          <cell r="A519">
            <v>5</v>
          </cell>
          <cell r="C519" t="str">
            <v>Selama pemadatan sekelompok pekerja  akan</v>
          </cell>
        </row>
        <row r="520">
          <cell r="C520" t="str">
            <v>merapikan tepi hamparan dan level permukaan</v>
          </cell>
        </row>
        <row r="521">
          <cell r="C521" t="str">
            <v>dengan menggunakan alat bantu</v>
          </cell>
        </row>
        <row r="523">
          <cell r="A523" t="str">
            <v>III.</v>
          </cell>
          <cell r="C523" t="str">
            <v>PEMAKAIAN BAHAN, ALAT DAN TENAGA</v>
          </cell>
        </row>
        <row r="524">
          <cell r="A524" t="str">
            <v xml:space="preserve">   1.</v>
          </cell>
          <cell r="C524" t="str">
            <v>BAHAN</v>
          </cell>
        </row>
        <row r="525">
          <cell r="A525" t="str">
            <v>1.a.</v>
          </cell>
          <cell r="C525" t="str">
            <v>Material pilihan</v>
          </cell>
          <cell r="D525" t="str">
            <v xml:space="preserve"> =  1 x  Fk</v>
          </cell>
          <cell r="G525" t="str">
            <v>(M09)</v>
          </cell>
          <cell r="H525">
            <v>1.2</v>
          </cell>
          <cell r="I525" t="str">
            <v>M3</v>
          </cell>
        </row>
        <row r="526">
          <cell r="A526" t="str">
            <v xml:space="preserve">   2.</v>
          </cell>
          <cell r="C526" t="str">
            <v>ALAT</v>
          </cell>
        </row>
        <row r="527">
          <cell r="A527" t="str">
            <v>2.a.</v>
          </cell>
          <cell r="C527" t="str">
            <v>WHELL  LOADER</v>
          </cell>
          <cell r="G527" t="str">
            <v>(E15)</v>
          </cell>
        </row>
        <row r="528">
          <cell r="C528" t="str">
            <v>Kapasitas  Bucket</v>
          </cell>
          <cell r="G528" t="str">
            <v>V</v>
          </cell>
          <cell r="H528">
            <v>1.5</v>
          </cell>
          <cell r="I528" t="str">
            <v>M3</v>
          </cell>
        </row>
        <row r="529">
          <cell r="C529" t="str">
            <v>Faktor Bucket</v>
          </cell>
          <cell r="G529" t="str">
            <v>Fb</v>
          </cell>
          <cell r="H529">
            <v>0.9</v>
          </cell>
          <cell r="I529" t="str">
            <v>-</v>
          </cell>
        </row>
        <row r="530">
          <cell r="C530" t="str">
            <v>Faktor Efisiensi Alat</v>
          </cell>
          <cell r="G530" t="str">
            <v>Fa</v>
          </cell>
          <cell r="H530">
            <v>0.83</v>
          </cell>
          <cell r="I530" t="str">
            <v>-</v>
          </cell>
        </row>
        <row r="531">
          <cell r="C531" t="str">
            <v>Waktu sklus</v>
          </cell>
          <cell r="G531" t="str">
            <v>Ts1</v>
          </cell>
          <cell r="I531" t="str">
            <v>menit</v>
          </cell>
        </row>
        <row r="532">
          <cell r="C532" t="str">
            <v>- Muat</v>
          </cell>
          <cell r="G532" t="str">
            <v>T1</v>
          </cell>
          <cell r="H532">
            <v>0.4</v>
          </cell>
          <cell r="I532" t="str">
            <v>menit</v>
          </cell>
        </row>
        <row r="533">
          <cell r="C533" t="str">
            <v>- Lain-lain</v>
          </cell>
          <cell r="G533" t="str">
            <v>T2</v>
          </cell>
          <cell r="H533">
            <v>0.4</v>
          </cell>
          <cell r="I533" t="str">
            <v>menit</v>
          </cell>
        </row>
        <row r="534">
          <cell r="G534" t="str">
            <v>Ts1</v>
          </cell>
          <cell r="H534">
            <v>0.8</v>
          </cell>
          <cell r="I534" t="str">
            <v>menit</v>
          </cell>
        </row>
        <row r="535">
          <cell r="C535" t="str">
            <v>Kapasitas Produksi / Jam =</v>
          </cell>
          <cell r="E535" t="str">
            <v>V  x  Fb x Fa x 60</v>
          </cell>
          <cell r="G535" t="str">
            <v>Q1</v>
          </cell>
          <cell r="H535">
            <v>70.031300000000002</v>
          </cell>
          <cell r="I535" t="str">
            <v>M3</v>
          </cell>
        </row>
        <row r="536">
          <cell r="E536" t="str">
            <v xml:space="preserve">      Fk x Ts1</v>
          </cell>
        </row>
        <row r="537">
          <cell r="C537" t="str">
            <v>Koefisienalat / M3   =         1 / Q1</v>
          </cell>
          <cell r="D537" t="str">
            <v xml:space="preserve">  =  1 : Q1</v>
          </cell>
          <cell r="G537" t="str">
            <v>(E15)</v>
          </cell>
          <cell r="H537">
            <v>1.43E-2</v>
          </cell>
          <cell r="I537" t="str">
            <v>Jam</v>
          </cell>
        </row>
        <row r="539">
          <cell r="A539" t="str">
            <v xml:space="preserve">   2.b.</v>
          </cell>
          <cell r="C539" t="str">
            <v>DUMP TRUCK</v>
          </cell>
          <cell r="G539" t="str">
            <v>(E08)</v>
          </cell>
        </row>
        <row r="540">
          <cell r="C540" t="str">
            <v>Kapasitas bak</v>
          </cell>
          <cell r="G540" t="str">
            <v>V</v>
          </cell>
          <cell r="H540">
            <v>4</v>
          </cell>
          <cell r="I540" t="str">
            <v>M3</v>
          </cell>
        </row>
        <row r="541">
          <cell r="C541" t="str">
            <v>Faktor  efisiensi alat</v>
          </cell>
          <cell r="G541" t="str">
            <v>Fa</v>
          </cell>
          <cell r="H541">
            <v>0.83</v>
          </cell>
          <cell r="I541" t="str">
            <v>-</v>
          </cell>
        </row>
        <row r="542">
          <cell r="C542" t="str">
            <v>Kecepatan rata-rata bermuatan</v>
          </cell>
          <cell r="G542" t="str">
            <v>v1</v>
          </cell>
          <cell r="H542">
            <v>40</v>
          </cell>
          <cell r="I542" t="str">
            <v>Km / Jam</v>
          </cell>
        </row>
        <row r="543">
          <cell r="C543" t="str">
            <v>Kecepatan rata-rata kosong</v>
          </cell>
          <cell r="G543" t="str">
            <v>v2</v>
          </cell>
          <cell r="H543">
            <v>60</v>
          </cell>
          <cell r="I543" t="str">
            <v>Km / Jam</v>
          </cell>
        </row>
        <row r="544">
          <cell r="C544" t="str">
            <v>Waktusiklus :</v>
          </cell>
          <cell r="G544" t="str">
            <v>Ts2</v>
          </cell>
        </row>
        <row r="545">
          <cell r="C545" t="str">
            <v>-  Waktu tempuh isi   = (L : v1) x 60</v>
          </cell>
          <cell r="G545" t="str">
            <v>T1</v>
          </cell>
          <cell r="H545">
            <v>3</v>
          </cell>
          <cell r="I545" t="str">
            <v>menit</v>
          </cell>
        </row>
        <row r="546">
          <cell r="C546" t="str">
            <v>-  Waktu tempuh kosong   = (L : v2) x 60</v>
          </cell>
          <cell r="G546" t="str">
            <v>T2</v>
          </cell>
          <cell r="H546">
            <v>2</v>
          </cell>
          <cell r="I546" t="str">
            <v>menit</v>
          </cell>
        </row>
        <row r="547">
          <cell r="C547" t="str">
            <v>- Lain-lain</v>
          </cell>
          <cell r="G547" t="str">
            <v>T3</v>
          </cell>
          <cell r="H547">
            <v>3</v>
          </cell>
          <cell r="I547" t="str">
            <v>menit</v>
          </cell>
        </row>
        <row r="548">
          <cell r="G548" t="str">
            <v>Ts2</v>
          </cell>
          <cell r="H548">
            <v>8</v>
          </cell>
          <cell r="I548" t="str">
            <v>menit</v>
          </cell>
        </row>
        <row r="550">
          <cell r="J550" t="str">
            <v>Berlanjut ke halaman berikut</v>
          </cell>
        </row>
        <row r="551">
          <cell r="A551" t="str">
            <v>ITEM PEMBAYARAN NO.</v>
          </cell>
          <cell r="D551" t="str">
            <v>:  3.2 (2)</v>
          </cell>
          <cell r="J551" t="str">
            <v>Analisa EI-322</v>
          </cell>
        </row>
        <row r="552">
          <cell r="A552" t="str">
            <v>JENIS PEKERJAAN</v>
          </cell>
          <cell r="D552" t="str">
            <v>:  Urugan Pilihan</v>
          </cell>
        </row>
        <row r="553">
          <cell r="A553" t="str">
            <v>SATUAN PEMBAYARAN</v>
          </cell>
          <cell r="D553" t="str">
            <v>:  M3</v>
          </cell>
          <cell r="H553" t="str">
            <v xml:space="preserve">         URAIAN ANALISA HARGA SATUAN</v>
          </cell>
        </row>
        <row r="554">
          <cell r="J554" t="str">
            <v>Lanjutan</v>
          </cell>
        </row>
        <row r="556">
          <cell r="A556" t="str">
            <v>No.</v>
          </cell>
          <cell r="C556" t="str">
            <v>U R A I A N</v>
          </cell>
          <cell r="G556" t="str">
            <v>KODE</v>
          </cell>
          <cell r="H556" t="str">
            <v>KOEF.</v>
          </cell>
          <cell r="I556" t="str">
            <v>SATUAN</v>
          </cell>
          <cell r="J556" t="str">
            <v>KETERANGAN</v>
          </cell>
        </row>
        <row r="559">
          <cell r="C559" t="str">
            <v>Kapasitas Produksi / Jam   =</v>
          </cell>
          <cell r="E559" t="str">
            <v>V x Fa x 60</v>
          </cell>
          <cell r="G559" t="str">
            <v>Q2</v>
          </cell>
          <cell r="H559">
            <v>20.75</v>
          </cell>
          <cell r="I559" t="str">
            <v>M3</v>
          </cell>
        </row>
        <row r="560">
          <cell r="E560" t="str">
            <v xml:space="preserve">    Fk x Ts2</v>
          </cell>
        </row>
        <row r="561">
          <cell r="C561" t="str">
            <v>Koefisien Alat / m3</v>
          </cell>
          <cell r="D561" t="str">
            <v xml:space="preserve"> =  1  :  Q2</v>
          </cell>
          <cell r="G561" t="str">
            <v>(E08)</v>
          </cell>
          <cell r="H561">
            <v>4.82E-2</v>
          </cell>
          <cell r="I561" t="str">
            <v>Jam</v>
          </cell>
        </row>
        <row r="563">
          <cell r="A563" t="str">
            <v>2.c.</v>
          </cell>
          <cell r="C563" t="str">
            <v>MOTOR GRADER</v>
          </cell>
          <cell r="G563" t="str">
            <v>(E13)</v>
          </cell>
        </row>
        <row r="564">
          <cell r="C564" t="str">
            <v>Panjang hamparan</v>
          </cell>
          <cell r="G564" t="str">
            <v>Lh</v>
          </cell>
          <cell r="H564">
            <v>50</v>
          </cell>
          <cell r="I564" t="str">
            <v>m</v>
          </cell>
        </row>
        <row r="565">
          <cell r="C565" t="str">
            <v>Lebar Efektif kerja Blade</v>
          </cell>
          <cell r="G565" t="str">
            <v>b</v>
          </cell>
          <cell r="H565">
            <v>2.4</v>
          </cell>
          <cell r="I565" t="str">
            <v>m</v>
          </cell>
        </row>
        <row r="566">
          <cell r="C566" t="str">
            <v>Faktor Efisiensi Alat</v>
          </cell>
          <cell r="G566" t="str">
            <v>Fa</v>
          </cell>
          <cell r="H566">
            <v>0.83</v>
          </cell>
          <cell r="I566" t="str">
            <v>-</v>
          </cell>
        </row>
        <row r="567">
          <cell r="C567" t="str">
            <v>Kecepatan rata-rata alat</v>
          </cell>
          <cell r="G567" t="str">
            <v>v</v>
          </cell>
          <cell r="H567">
            <v>4</v>
          </cell>
          <cell r="I567" t="str">
            <v>Km / Jam</v>
          </cell>
        </row>
        <row r="568">
          <cell r="C568" t="str">
            <v>Jumlah lintasan</v>
          </cell>
          <cell r="G568" t="str">
            <v>n</v>
          </cell>
          <cell r="H568">
            <v>6</v>
          </cell>
          <cell r="I568" t="str">
            <v>lintasan</v>
          </cell>
        </row>
        <row r="569">
          <cell r="C569" t="str">
            <v>Waktu siklus</v>
          </cell>
          <cell r="G569" t="str">
            <v>Ts3</v>
          </cell>
        </row>
        <row r="570">
          <cell r="C570" t="str">
            <v>- Perataan 1 kali lintasan    = Lh : (v x 1000) x 60</v>
          </cell>
          <cell r="G570" t="str">
            <v>T1</v>
          </cell>
          <cell r="H570">
            <v>0.75</v>
          </cell>
          <cell r="I570" t="str">
            <v>menit</v>
          </cell>
        </row>
        <row r="571">
          <cell r="C571" t="str">
            <v>- Lain-lain</v>
          </cell>
          <cell r="G571" t="str">
            <v>T2</v>
          </cell>
          <cell r="H571">
            <v>1</v>
          </cell>
          <cell r="I571" t="str">
            <v>menit</v>
          </cell>
        </row>
        <row r="572">
          <cell r="G572" t="str">
            <v>Ts3</v>
          </cell>
          <cell r="H572">
            <v>1.75</v>
          </cell>
          <cell r="I572" t="str">
            <v>menit</v>
          </cell>
        </row>
        <row r="574">
          <cell r="C574" t="str">
            <v>Kapasitas Produksi / Jam   =</v>
          </cell>
          <cell r="E574" t="str">
            <v>Lh x b x t x Fa x 60</v>
          </cell>
          <cell r="G574" t="str">
            <v>Q3</v>
          </cell>
          <cell r="H574">
            <v>85.371399999999994</v>
          </cell>
          <cell r="I574" t="str">
            <v xml:space="preserve">M3 / Jam </v>
          </cell>
        </row>
        <row r="575">
          <cell r="E575" t="str">
            <v xml:space="preserve">      n x Ts3</v>
          </cell>
        </row>
        <row r="576">
          <cell r="C576" t="str">
            <v>Koefisien Alat / m3</v>
          </cell>
          <cell r="D576" t="str">
            <v xml:space="preserve"> =  1  :  Q3</v>
          </cell>
          <cell r="G576" t="str">
            <v>(E13)</v>
          </cell>
          <cell r="H576">
            <v>1.17E-2</v>
          </cell>
          <cell r="I576" t="str">
            <v>Jam</v>
          </cell>
        </row>
        <row r="578">
          <cell r="A578" t="str">
            <v>2.d.</v>
          </cell>
          <cell r="C578" t="str">
            <v>VIBRATOR ROLLER</v>
          </cell>
          <cell r="G578" t="str">
            <v>(E19)</v>
          </cell>
        </row>
        <row r="579">
          <cell r="C579" t="str">
            <v>Kecepatan rata-rata alat</v>
          </cell>
          <cell r="G579" t="str">
            <v>v</v>
          </cell>
          <cell r="H579">
            <v>2.5</v>
          </cell>
          <cell r="I579" t="str">
            <v>Km / jam</v>
          </cell>
        </row>
        <row r="580">
          <cell r="C580" t="str">
            <v>Lebar efektif pemadatan</v>
          </cell>
          <cell r="G580" t="str">
            <v>b</v>
          </cell>
          <cell r="H580">
            <v>1.2</v>
          </cell>
          <cell r="I580" t="str">
            <v>M</v>
          </cell>
        </row>
        <row r="581">
          <cell r="C581" t="str">
            <v>Jumlah lintasan</v>
          </cell>
          <cell r="G581" t="str">
            <v>n</v>
          </cell>
          <cell r="H581">
            <v>8</v>
          </cell>
          <cell r="I581" t="str">
            <v>lintasan</v>
          </cell>
        </row>
        <row r="582">
          <cell r="C582" t="str">
            <v>Faktor efisiensi alat</v>
          </cell>
          <cell r="G582" t="str">
            <v>Fa</v>
          </cell>
          <cell r="H582">
            <v>0.83</v>
          </cell>
          <cell r="I582" t="str">
            <v>-</v>
          </cell>
        </row>
        <row r="584">
          <cell r="C584" t="str">
            <v>Kapasitas Prod./Jam   =</v>
          </cell>
          <cell r="D584" t="str">
            <v>(v x 1000) x b x t x Fa</v>
          </cell>
          <cell r="G584" t="str">
            <v>Q4</v>
          </cell>
          <cell r="H584">
            <v>46.6875</v>
          </cell>
          <cell r="I584" t="str">
            <v>M3</v>
          </cell>
        </row>
        <row r="585">
          <cell r="D585" t="str">
            <v>n</v>
          </cell>
        </row>
        <row r="587">
          <cell r="C587" t="str">
            <v>Koefisien Alat / m3</v>
          </cell>
          <cell r="D587" t="str">
            <v xml:space="preserve"> =  1  :  Q4</v>
          </cell>
          <cell r="G587" t="str">
            <v>(E19)</v>
          </cell>
          <cell r="H587">
            <v>2.1399999999999999E-2</v>
          </cell>
          <cell r="I587" t="str">
            <v>Jam</v>
          </cell>
        </row>
        <row r="590">
          <cell r="A590" t="str">
            <v>2.e.</v>
          </cell>
          <cell r="C590" t="str">
            <v>WATER TANK TRUCK</v>
          </cell>
          <cell r="G590" t="str">
            <v>(E23)</v>
          </cell>
        </row>
        <row r="591">
          <cell r="C591" t="str">
            <v>Volume tangki air</v>
          </cell>
          <cell r="G591" t="str">
            <v>V</v>
          </cell>
          <cell r="H591">
            <v>4</v>
          </cell>
          <cell r="I591" t="str">
            <v>M3</v>
          </cell>
        </row>
        <row r="592">
          <cell r="C592" t="str">
            <v>Kebutuhan air / M3 material padat</v>
          </cell>
          <cell r="G592" t="str">
            <v>Wc</v>
          </cell>
          <cell r="H592">
            <v>7.0000000000000007E-2</v>
          </cell>
          <cell r="I592" t="str">
            <v>M3</v>
          </cell>
        </row>
        <row r="593">
          <cell r="C593" t="str">
            <v>Pengisian Tangki / jam</v>
          </cell>
          <cell r="G593" t="str">
            <v>n</v>
          </cell>
          <cell r="H593">
            <v>1</v>
          </cell>
          <cell r="I593" t="str">
            <v>kali</v>
          </cell>
        </row>
        <row r="594">
          <cell r="C594" t="str">
            <v>Faktor efisiensi alat</v>
          </cell>
          <cell r="G594" t="str">
            <v>Fa</v>
          </cell>
          <cell r="H594">
            <v>0.83</v>
          </cell>
          <cell r="I594" t="str">
            <v>-</v>
          </cell>
        </row>
        <row r="596">
          <cell r="C596" t="str">
            <v>Kapasitas Produksi / Jam   =</v>
          </cell>
          <cell r="E596" t="str">
            <v>V  x  n x Fa</v>
          </cell>
          <cell r="G596" t="str">
            <v>Q5</v>
          </cell>
          <cell r="H596">
            <v>47.428600000000003</v>
          </cell>
          <cell r="I596" t="str">
            <v>M3</v>
          </cell>
        </row>
        <row r="597">
          <cell r="E597" t="str">
            <v xml:space="preserve">     Wc</v>
          </cell>
        </row>
        <row r="599">
          <cell r="C599" t="str">
            <v>Koefisien Alat / m3</v>
          </cell>
          <cell r="D599" t="str">
            <v xml:space="preserve"> =  1  :  Q5</v>
          </cell>
          <cell r="G599" t="str">
            <v>(E23)</v>
          </cell>
          <cell r="H599">
            <v>2.1100000000000001E-2</v>
          </cell>
          <cell r="I599" t="str">
            <v>Jam</v>
          </cell>
        </row>
        <row r="601">
          <cell r="A601" t="str">
            <v>2.f.</v>
          </cell>
          <cell r="C601" t="str">
            <v>ALAT  BANTU</v>
          </cell>
        </row>
        <row r="602">
          <cell r="C602" t="str">
            <v>Diperlukan alat-alat bantu kecil</v>
          </cell>
          <cell r="J602" t="str">
            <v>Lump Sump</v>
          </cell>
        </row>
        <row r="603">
          <cell r="C603" t="str">
            <v>- Sekop    =         3   buah</v>
          </cell>
        </row>
        <row r="605">
          <cell r="J605" t="str">
            <v>Berlanjut ke halaman berikut</v>
          </cell>
        </row>
        <row r="606">
          <cell r="A606" t="str">
            <v>ITEM PEMBAYARAN NO.</v>
          </cell>
          <cell r="D606" t="str">
            <v>:  3.2 (2)</v>
          </cell>
          <cell r="J606" t="str">
            <v>Analisa EI-322</v>
          </cell>
        </row>
        <row r="607">
          <cell r="A607" t="str">
            <v>JENIS PEKERJAAN</v>
          </cell>
          <cell r="D607" t="str">
            <v>:  Urugan Pilihan</v>
          </cell>
        </row>
        <row r="608">
          <cell r="A608" t="str">
            <v>SATUAN PEMBAYARAN</v>
          </cell>
          <cell r="D608" t="str">
            <v>:  M3</v>
          </cell>
          <cell r="H608" t="str">
            <v xml:space="preserve">         URAIAN ANALISA HARGA SATUAN</v>
          </cell>
        </row>
        <row r="609">
          <cell r="J609" t="str">
            <v>Lanjutan</v>
          </cell>
        </row>
        <row r="611">
          <cell r="A611" t="str">
            <v>No.</v>
          </cell>
          <cell r="C611" t="str">
            <v>U R A I A N</v>
          </cell>
          <cell r="G611" t="str">
            <v>KODE</v>
          </cell>
          <cell r="H611" t="str">
            <v>KOEF.</v>
          </cell>
          <cell r="I611" t="str">
            <v>SATUAN</v>
          </cell>
          <cell r="J611" t="str">
            <v>KETERANGAN</v>
          </cell>
        </row>
        <row r="614">
          <cell r="A614" t="str">
            <v xml:space="preserve">   3.</v>
          </cell>
          <cell r="C614" t="str">
            <v>TENAGA</v>
          </cell>
        </row>
        <row r="615">
          <cell r="C615" t="str">
            <v>Produksi menentukan : WHELL LOADER</v>
          </cell>
          <cell r="G615" t="str">
            <v>Q1</v>
          </cell>
          <cell r="H615">
            <v>70.031300000000002</v>
          </cell>
          <cell r="I615" t="str">
            <v>M3/Jam</v>
          </cell>
        </row>
        <row r="616">
          <cell r="C616" t="str">
            <v>Produksi Galian / hari  =  Tk x Q1</v>
          </cell>
          <cell r="G616" t="str">
            <v>Qt</v>
          </cell>
          <cell r="H616">
            <v>490.21910000000003</v>
          </cell>
          <cell r="I616" t="str">
            <v>M3</v>
          </cell>
        </row>
        <row r="617">
          <cell r="C617" t="str">
            <v>Kebutuhan tenaga :</v>
          </cell>
        </row>
        <row r="618">
          <cell r="D618" t="str">
            <v>- Pekerja</v>
          </cell>
          <cell r="G618" t="str">
            <v>P</v>
          </cell>
          <cell r="H618">
            <v>4</v>
          </cell>
          <cell r="I618" t="str">
            <v>orang</v>
          </cell>
        </row>
        <row r="619">
          <cell r="D619" t="str">
            <v>- Mandor</v>
          </cell>
          <cell r="G619" t="str">
            <v>M</v>
          </cell>
          <cell r="H619">
            <v>1</v>
          </cell>
          <cell r="I619" t="str">
            <v>orang</v>
          </cell>
        </row>
        <row r="622">
          <cell r="C622" t="str">
            <v>Koefisien tenaga / M3   :</v>
          </cell>
        </row>
        <row r="623">
          <cell r="D623" t="str">
            <v>- Pekerja</v>
          </cell>
          <cell r="E623" t="str">
            <v>= (Tk x P) : Qt</v>
          </cell>
          <cell r="G623" t="str">
            <v>(L01)</v>
          </cell>
          <cell r="H623">
            <v>5.7099999999999998E-2</v>
          </cell>
          <cell r="I623" t="str">
            <v>Jam</v>
          </cell>
        </row>
        <row r="624">
          <cell r="D624" t="str">
            <v>- Mandor</v>
          </cell>
          <cell r="E624" t="str">
            <v>= (Tk x M) : Qt</v>
          </cell>
          <cell r="G624" t="str">
            <v>(L03)</v>
          </cell>
          <cell r="H624">
            <v>1.43E-2</v>
          </cell>
          <cell r="I624" t="str">
            <v>Jam</v>
          </cell>
        </row>
        <row r="627">
          <cell r="A627" t="str">
            <v>4.</v>
          </cell>
          <cell r="C627" t="str">
            <v>HARGA DASAR SATUAN UPAH, BAHAN DAN ALAT</v>
          </cell>
        </row>
        <row r="628">
          <cell r="C628" t="str">
            <v>Lihat lampiran.</v>
          </cell>
        </row>
        <row r="631">
          <cell r="A631" t="str">
            <v>5.</v>
          </cell>
          <cell r="C631" t="str">
            <v>ANALISA HARGA SATUAN PEKERJAAN</v>
          </cell>
        </row>
        <row r="632">
          <cell r="C632" t="str">
            <v>Lihat perhitungan dalam FORMULIR STANDAR UNTUK</v>
          </cell>
        </row>
        <row r="633">
          <cell r="C633" t="str">
            <v>PEREKEMAN ANALISA MASING-MASING HARGA</v>
          </cell>
        </row>
        <row r="634">
          <cell r="C634" t="str">
            <v>SATUAN.</v>
          </cell>
        </row>
        <row r="635">
          <cell r="C635" t="str">
            <v>Didapat Harga Satuan Pekerjaan :</v>
          </cell>
        </row>
        <row r="637">
          <cell r="C637" t="str">
            <v xml:space="preserve">Rp.  </v>
          </cell>
          <cell r="D637">
            <v>27891.64</v>
          </cell>
          <cell r="E637" t="str">
            <v xml:space="preserve"> / M3.</v>
          </cell>
        </row>
        <row r="661">
          <cell r="A661" t="str">
            <v>ITEM PEMBAYARAN NO.</v>
          </cell>
          <cell r="D661" t="str">
            <v>:  3.3</v>
          </cell>
          <cell r="J661" t="str">
            <v>Analisa EI-33</v>
          </cell>
        </row>
        <row r="662">
          <cell r="A662" t="str">
            <v>JENIS PEKERJAAN</v>
          </cell>
          <cell r="D662" t="str">
            <v>:  Penyiapan Badan Jalan</v>
          </cell>
        </row>
        <row r="663">
          <cell r="A663" t="str">
            <v>SATUAN PEMBAYARAN</v>
          </cell>
          <cell r="D663" t="str">
            <v>:  M2</v>
          </cell>
          <cell r="H663" t="str">
            <v xml:space="preserve">         URAIAN ANALISA HARGA SATUAN</v>
          </cell>
        </row>
        <row r="666">
          <cell r="A666" t="str">
            <v>No.</v>
          </cell>
          <cell r="C666" t="str">
            <v>U R A I A N</v>
          </cell>
          <cell r="G666" t="str">
            <v>KODE</v>
          </cell>
          <cell r="H666" t="str">
            <v>KOEF.</v>
          </cell>
          <cell r="I666" t="str">
            <v>SATUAN</v>
          </cell>
          <cell r="J666" t="str">
            <v>KETERANGAN</v>
          </cell>
        </row>
        <row r="669">
          <cell r="A669" t="str">
            <v>I.</v>
          </cell>
          <cell r="C669" t="str">
            <v>ASUMSI</v>
          </cell>
        </row>
        <row r="670">
          <cell r="A670">
            <v>1</v>
          </cell>
          <cell r="C670" t="str">
            <v>Pekerjaan dilaksanakan hanya pada tanah  galian</v>
          </cell>
        </row>
        <row r="671">
          <cell r="A671">
            <v>2</v>
          </cell>
          <cell r="C671" t="str">
            <v>Pekerjaan dilakukan secara mekanis</v>
          </cell>
        </row>
        <row r="672">
          <cell r="A672">
            <v>3</v>
          </cell>
          <cell r="C672" t="str">
            <v>Lokasi pekerjaan : Sekitar Jembatan</v>
          </cell>
        </row>
        <row r="673">
          <cell r="A673">
            <v>4</v>
          </cell>
          <cell r="C673" t="str">
            <v>Kondisi Jalan   : jelek / belum padat</v>
          </cell>
        </row>
        <row r="674">
          <cell r="A674">
            <v>5</v>
          </cell>
          <cell r="C674" t="str">
            <v>Jam kerja efektif per-hari</v>
          </cell>
          <cell r="G674" t="str">
            <v>Tk</v>
          </cell>
          <cell r="H674">
            <v>7</v>
          </cell>
          <cell r="I674" t="str">
            <v>Jam</v>
          </cell>
        </row>
        <row r="677">
          <cell r="A677" t="str">
            <v>II.</v>
          </cell>
          <cell r="C677" t="str">
            <v>URUTAN KERJA</v>
          </cell>
        </row>
        <row r="678">
          <cell r="A678">
            <v>1</v>
          </cell>
          <cell r="C678" t="str">
            <v>Motor  Grader meratakanpermukaan hasil galian</v>
          </cell>
        </row>
        <row r="679">
          <cell r="A679">
            <v>2</v>
          </cell>
          <cell r="C679" t="str">
            <v>Vibro Roller memadatkan permukaan yang telah</v>
          </cell>
        </row>
        <row r="680">
          <cell r="C680" t="str">
            <v>diratakan oleh Motor Grader</v>
          </cell>
        </row>
        <row r="681">
          <cell r="A681">
            <v>3</v>
          </cell>
          <cell r="C681" t="str">
            <v>Sekelompok pekerja akan membantu meratakan</v>
          </cell>
        </row>
        <row r="682">
          <cell r="C682" t="str">
            <v>badan jalan dengan alat bantu</v>
          </cell>
        </row>
        <row r="684">
          <cell r="A684" t="str">
            <v>III.</v>
          </cell>
          <cell r="C684" t="str">
            <v>PEMAKAIAN BAHAN, ALAT DAN TENAGA</v>
          </cell>
        </row>
        <row r="685">
          <cell r="A685" t="str">
            <v xml:space="preserve">   1.</v>
          </cell>
          <cell r="C685" t="str">
            <v>BAHAN</v>
          </cell>
        </row>
        <row r="686">
          <cell r="C686" t="str">
            <v>Tidak diperlukan bahan / material</v>
          </cell>
        </row>
        <row r="688">
          <cell r="A688" t="str">
            <v xml:space="preserve">   2.</v>
          </cell>
          <cell r="C688" t="str">
            <v>ALAT</v>
          </cell>
        </row>
        <row r="689">
          <cell r="A689" t="str">
            <v>2.a.</v>
          </cell>
          <cell r="C689" t="str">
            <v>MOTOR GRADER</v>
          </cell>
          <cell r="G689" t="str">
            <v>(E13)</v>
          </cell>
        </row>
        <row r="690">
          <cell r="C690" t="str">
            <v>Panjang operasi grader sekali jalan</v>
          </cell>
          <cell r="G690" t="str">
            <v>Lh</v>
          </cell>
          <cell r="H690">
            <v>50</v>
          </cell>
          <cell r="I690" t="str">
            <v>M</v>
          </cell>
        </row>
        <row r="691">
          <cell r="C691" t="str">
            <v>Lebar Efektif kerja Blade</v>
          </cell>
          <cell r="G691" t="str">
            <v>b</v>
          </cell>
          <cell r="H691">
            <v>2.4</v>
          </cell>
          <cell r="I691" t="str">
            <v>M</v>
          </cell>
        </row>
        <row r="692">
          <cell r="C692" t="str">
            <v>Faktor Efisiensi Alat</v>
          </cell>
          <cell r="G692" t="str">
            <v>Fa</v>
          </cell>
          <cell r="H692">
            <v>0.83</v>
          </cell>
          <cell r="I692" t="str">
            <v>-</v>
          </cell>
        </row>
        <row r="693">
          <cell r="C693" t="str">
            <v>Kecepatan rata-rata alat</v>
          </cell>
          <cell r="G693" t="str">
            <v>v</v>
          </cell>
          <cell r="H693">
            <v>2</v>
          </cell>
          <cell r="I693" t="str">
            <v>Km / Jam</v>
          </cell>
        </row>
        <row r="694">
          <cell r="C694" t="str">
            <v>Jumlah lintasan</v>
          </cell>
          <cell r="G694" t="str">
            <v>n</v>
          </cell>
          <cell r="H694">
            <v>6</v>
          </cell>
          <cell r="I694" t="str">
            <v>lintasan</v>
          </cell>
        </row>
        <row r="695">
          <cell r="C695" t="str">
            <v>Waktu siklus</v>
          </cell>
          <cell r="G695" t="str">
            <v>Ts1</v>
          </cell>
        </row>
        <row r="696">
          <cell r="C696" t="str">
            <v>- Perataan 1 kali lintasan    = Lh : (v x 1000) x 60</v>
          </cell>
          <cell r="G696" t="str">
            <v>T1</v>
          </cell>
          <cell r="H696">
            <v>1.5</v>
          </cell>
          <cell r="I696" t="str">
            <v>menit</v>
          </cell>
        </row>
        <row r="697">
          <cell r="C697" t="str">
            <v>- Lain-lain</v>
          </cell>
          <cell r="G697" t="str">
            <v>T2</v>
          </cell>
          <cell r="H697">
            <v>1</v>
          </cell>
          <cell r="I697" t="str">
            <v>menit</v>
          </cell>
        </row>
        <row r="698">
          <cell r="G698" t="str">
            <v>Ts1</v>
          </cell>
          <cell r="H698">
            <v>2.5</v>
          </cell>
          <cell r="I698" t="str">
            <v>menit</v>
          </cell>
        </row>
        <row r="700">
          <cell r="C700" t="str">
            <v>Kapasitas Produksi / Jam   =</v>
          </cell>
          <cell r="E700" t="str">
            <v>Lh x b x Fa x 60</v>
          </cell>
          <cell r="G700" t="str">
            <v>Q1</v>
          </cell>
          <cell r="H700">
            <v>398.4</v>
          </cell>
          <cell r="I700" t="str">
            <v>M2</v>
          </cell>
        </row>
        <row r="701">
          <cell r="E701" t="str">
            <v xml:space="preserve">      n x Ts</v>
          </cell>
        </row>
        <row r="703">
          <cell r="C703" t="str">
            <v>Koefisien Alat / m2</v>
          </cell>
          <cell r="D703" t="str">
            <v xml:space="preserve"> =  1  :  Q1</v>
          </cell>
          <cell r="G703" t="str">
            <v>(E13)</v>
          </cell>
          <cell r="H703">
            <v>2.5000000000000001E-3</v>
          </cell>
          <cell r="I703" t="str">
            <v>Jam</v>
          </cell>
        </row>
        <row r="705">
          <cell r="A705" t="str">
            <v>2.b.</v>
          </cell>
          <cell r="C705" t="str">
            <v>VIBRATOR ROLLER</v>
          </cell>
          <cell r="G705" t="str">
            <v>(E19)</v>
          </cell>
        </row>
        <row r="706">
          <cell r="C706" t="str">
            <v>Kecepatan rata-rata alat</v>
          </cell>
          <cell r="G706" t="str">
            <v>v</v>
          </cell>
          <cell r="H706">
            <v>2</v>
          </cell>
          <cell r="I706" t="str">
            <v>Km / jam</v>
          </cell>
        </row>
        <row r="707">
          <cell r="C707" t="str">
            <v>Lebar efektif pemadatan</v>
          </cell>
          <cell r="G707" t="str">
            <v>b</v>
          </cell>
          <cell r="H707">
            <v>1.2</v>
          </cell>
          <cell r="I707" t="str">
            <v>M</v>
          </cell>
        </row>
        <row r="708">
          <cell r="C708" t="str">
            <v>Jumlah lintasan</v>
          </cell>
          <cell r="G708" t="str">
            <v>n</v>
          </cell>
          <cell r="H708">
            <v>8</v>
          </cell>
          <cell r="I708" t="str">
            <v>lintasan</v>
          </cell>
        </row>
        <row r="709">
          <cell r="C709" t="str">
            <v>Faktor efisiensi alat</v>
          </cell>
          <cell r="G709" t="str">
            <v>Fa</v>
          </cell>
          <cell r="H709">
            <v>0.83</v>
          </cell>
          <cell r="I709" t="str">
            <v>-</v>
          </cell>
        </row>
        <row r="711">
          <cell r="C711" t="str">
            <v>Kapasitas Produksi / Jam   =</v>
          </cell>
          <cell r="E711" t="str">
            <v>(v x 1000) x b x Fa</v>
          </cell>
          <cell r="G711" t="str">
            <v>Q2</v>
          </cell>
          <cell r="H711">
            <v>249</v>
          </cell>
          <cell r="I711" t="str">
            <v>M2</v>
          </cell>
        </row>
        <row r="712">
          <cell r="E712" t="str">
            <v>n</v>
          </cell>
        </row>
        <row r="713">
          <cell r="C713" t="str">
            <v>Koefisien Alat / m2</v>
          </cell>
          <cell r="D713" t="str">
            <v xml:space="preserve"> =  1  :  Q2</v>
          </cell>
          <cell r="G713" t="str">
            <v>(E19)</v>
          </cell>
          <cell r="H713">
            <v>4.0000000000000001E-3</v>
          </cell>
          <cell r="I713" t="str">
            <v>Jam</v>
          </cell>
        </row>
        <row r="715">
          <cell r="J715" t="str">
            <v>Berlanjut ke halaman berikut</v>
          </cell>
        </row>
        <row r="716">
          <cell r="A716" t="str">
            <v>ITEM PEMBAYARAN NO.</v>
          </cell>
          <cell r="D716" t="str">
            <v>:  3.3</v>
          </cell>
          <cell r="J716" t="str">
            <v>Analisa EI-33</v>
          </cell>
        </row>
        <row r="717">
          <cell r="A717" t="str">
            <v>JENIS PEKERJAAN</v>
          </cell>
          <cell r="D717" t="str">
            <v>:  Penyiapan Badan Jalan</v>
          </cell>
        </row>
        <row r="718">
          <cell r="A718" t="str">
            <v>SATUAN PEMBAYARAN</v>
          </cell>
          <cell r="D718" t="str">
            <v>:  M2</v>
          </cell>
          <cell r="H718" t="str">
            <v xml:space="preserve">         URAIAN ANALISA HARGA SATUAN</v>
          </cell>
        </row>
        <row r="719">
          <cell r="J719" t="str">
            <v>Lanjutan</v>
          </cell>
        </row>
        <row r="721">
          <cell r="A721" t="str">
            <v>No.</v>
          </cell>
          <cell r="C721" t="str">
            <v>U R A I A N</v>
          </cell>
          <cell r="G721" t="str">
            <v>KODE</v>
          </cell>
          <cell r="H721" t="str">
            <v>KOEF.</v>
          </cell>
          <cell r="I721" t="str">
            <v>SATUAN</v>
          </cell>
          <cell r="J721" t="str">
            <v>KETERANGAN</v>
          </cell>
        </row>
        <row r="724">
          <cell r="A724" t="str">
            <v>2.c.</v>
          </cell>
          <cell r="C724" t="str">
            <v>WATER TANK TRUCK</v>
          </cell>
          <cell r="G724" t="str">
            <v>(E23)</v>
          </cell>
        </row>
        <row r="725">
          <cell r="C725" t="str">
            <v>Volume tangki air</v>
          </cell>
          <cell r="G725" t="str">
            <v>V</v>
          </cell>
          <cell r="H725">
            <v>4</v>
          </cell>
          <cell r="I725" t="str">
            <v>M3</v>
          </cell>
        </row>
        <row r="726">
          <cell r="C726" t="str">
            <v>Kebutuhan air / M3 material padat</v>
          </cell>
          <cell r="G726" t="str">
            <v>Wc</v>
          </cell>
          <cell r="H726">
            <v>7.0000000000000007E-2</v>
          </cell>
          <cell r="I726" t="str">
            <v>M3</v>
          </cell>
        </row>
        <row r="727">
          <cell r="C727" t="str">
            <v>Pengisian Tangki / jam</v>
          </cell>
          <cell r="G727" t="str">
            <v>n</v>
          </cell>
          <cell r="H727">
            <v>2</v>
          </cell>
          <cell r="I727" t="str">
            <v>kali</v>
          </cell>
        </row>
        <row r="728">
          <cell r="C728" t="str">
            <v>Faktor efisiensi alat</v>
          </cell>
          <cell r="G728" t="str">
            <v>Fa</v>
          </cell>
          <cell r="H728">
            <v>0.83</v>
          </cell>
          <cell r="I728" t="str">
            <v>-</v>
          </cell>
        </row>
        <row r="730">
          <cell r="C730" t="str">
            <v>Kapasitas Produksi / Jam   =</v>
          </cell>
          <cell r="E730" t="str">
            <v>V  x  n x Fa</v>
          </cell>
          <cell r="G730" t="str">
            <v>Q3</v>
          </cell>
          <cell r="H730">
            <v>94.857100000000003</v>
          </cell>
          <cell r="I730" t="str">
            <v>M3</v>
          </cell>
        </row>
        <row r="731">
          <cell r="E731" t="str">
            <v xml:space="preserve">     Wc</v>
          </cell>
        </row>
        <row r="733">
          <cell r="C733" t="str">
            <v>Koefisien Alat / m3</v>
          </cell>
          <cell r="D733" t="str">
            <v xml:space="preserve"> =  1  :  Q3</v>
          </cell>
          <cell r="G733" t="str">
            <v>(E23)</v>
          </cell>
          <cell r="H733">
            <v>1.0500000000000001E-2</v>
          </cell>
          <cell r="I733" t="str">
            <v>Jam</v>
          </cell>
        </row>
        <row r="736">
          <cell r="A736" t="str">
            <v>2.d.</v>
          </cell>
          <cell r="C736" t="str">
            <v>ALAT  BANTU</v>
          </cell>
        </row>
        <row r="737">
          <cell r="C737" t="str">
            <v>Diperlukan alat-alat bantu kecil</v>
          </cell>
          <cell r="J737" t="str">
            <v>Lump Sum</v>
          </cell>
        </row>
        <row r="738">
          <cell r="C738" t="str">
            <v>- Sekop    =         3   buah</v>
          </cell>
        </row>
        <row r="741">
          <cell r="A741" t="str">
            <v xml:space="preserve">   3.</v>
          </cell>
          <cell r="C741" t="str">
            <v>TENAGA</v>
          </cell>
        </row>
        <row r="742">
          <cell r="C742" t="str">
            <v>Produksi menentukan : VIBRATORY  ROLLER</v>
          </cell>
          <cell r="G742" t="str">
            <v>Q2</v>
          </cell>
          <cell r="H742">
            <v>249</v>
          </cell>
          <cell r="I742" t="str">
            <v>M2/Jam</v>
          </cell>
        </row>
        <row r="743">
          <cell r="C743" t="str">
            <v>Produksi Pekerjaan / hari  =  Tk x Q1</v>
          </cell>
          <cell r="G743" t="str">
            <v>Qt</v>
          </cell>
          <cell r="H743">
            <v>1743</v>
          </cell>
          <cell r="I743" t="str">
            <v>M2</v>
          </cell>
        </row>
        <row r="744">
          <cell r="C744" t="str">
            <v>Kebutuhan tenaga :</v>
          </cell>
        </row>
        <row r="745">
          <cell r="D745" t="str">
            <v>- Pekerja</v>
          </cell>
          <cell r="G745" t="str">
            <v>P</v>
          </cell>
          <cell r="H745">
            <v>4</v>
          </cell>
          <cell r="I745" t="str">
            <v>orang</v>
          </cell>
        </row>
        <row r="746">
          <cell r="D746" t="str">
            <v>- Mandor</v>
          </cell>
          <cell r="G746" t="str">
            <v>M</v>
          </cell>
          <cell r="H746">
            <v>1</v>
          </cell>
          <cell r="I746" t="str">
            <v>orang</v>
          </cell>
        </row>
        <row r="748">
          <cell r="C748" t="str">
            <v>Koefisien tenaga / M2</v>
          </cell>
        </row>
        <row r="749">
          <cell r="D749" t="str">
            <v>- Pekerja</v>
          </cell>
          <cell r="E749" t="str">
            <v>= (Tk x P) : Qt</v>
          </cell>
          <cell r="G749" t="str">
            <v>(L01)</v>
          </cell>
          <cell r="H749">
            <v>1.61E-2</v>
          </cell>
          <cell r="I749" t="str">
            <v>Jam</v>
          </cell>
        </row>
        <row r="750">
          <cell r="D750" t="str">
            <v>- Mandor</v>
          </cell>
          <cell r="E750" t="str">
            <v>= (Tk x M) : Qt</v>
          </cell>
          <cell r="G750" t="str">
            <v>(L02)</v>
          </cell>
          <cell r="H750">
            <v>4.0000000000000001E-3</v>
          </cell>
          <cell r="I750" t="str">
            <v>Jam</v>
          </cell>
        </row>
        <row r="752">
          <cell r="A752" t="str">
            <v>4.</v>
          </cell>
          <cell r="C752" t="str">
            <v>HARGA DASAR SATUAN UPAH, BAHAN DAN ALAT</v>
          </cell>
        </row>
        <row r="753">
          <cell r="C753" t="str">
            <v>Lihat lampiran.</v>
          </cell>
        </row>
        <row r="755">
          <cell r="A755" t="str">
            <v>5.</v>
          </cell>
          <cell r="C755" t="str">
            <v>ANALISA HARGA SATUAN PEKERJAAN</v>
          </cell>
        </row>
        <row r="756">
          <cell r="C756" t="str">
            <v>Lihat perhitungan dalam FORMULIR STANDAR UNTUK</v>
          </cell>
        </row>
        <row r="757">
          <cell r="C757" t="str">
            <v>PEREKEMAN ANALISA MASING-MASING HARGA</v>
          </cell>
        </row>
        <row r="758">
          <cell r="C758" t="str">
            <v>SATUAN.</v>
          </cell>
        </row>
        <row r="759">
          <cell r="C759" t="str">
            <v>Didapat Harga Satuan Pekerjaan :</v>
          </cell>
        </row>
        <row r="761">
          <cell r="C761" t="str">
            <v xml:space="preserve">Rp.  </v>
          </cell>
          <cell r="D761">
            <v>1992.0199999999998</v>
          </cell>
          <cell r="E761" t="str">
            <v xml:space="preserve"> / M2</v>
          </cell>
        </row>
      </sheetData>
      <sheetData sheetId="10" refreshError="1">
        <row r="1">
          <cell r="A1" t="str">
            <v>ITEM PEMBAYARAN NO.</v>
          </cell>
          <cell r="D1" t="str">
            <v>:  5.1 (6)</v>
          </cell>
          <cell r="J1" t="str">
            <v>Analisa El-516</v>
          </cell>
        </row>
        <row r="2">
          <cell r="A2" t="str">
            <v>JENIS PEKERJAAN</v>
          </cell>
          <cell r="D2" t="str">
            <v>:  Lps. Pondasi Telford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9">
          <cell r="A9" t="str">
            <v>I.</v>
          </cell>
          <cell r="C9" t="str">
            <v>ASUMSI</v>
          </cell>
        </row>
        <row r="10">
          <cell r="A10">
            <v>1</v>
          </cell>
          <cell r="C10" t="str">
            <v>Menggunakan tenaga manusia ( manual)</v>
          </cell>
        </row>
        <row r="11">
          <cell r="A11">
            <v>2</v>
          </cell>
          <cell r="C11" t="str">
            <v>Lokasi pekerjaan : sekitar jembatan</v>
          </cell>
        </row>
        <row r="12">
          <cell r="A12">
            <v>3</v>
          </cell>
          <cell r="C12" t="str">
            <v>Kondisi existing jalan : sedang</v>
          </cell>
          <cell r="G12" t="str">
            <v>L</v>
          </cell>
          <cell r="H12">
            <v>1</v>
          </cell>
          <cell r="I12" t="str">
            <v>KM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1</v>
          </cell>
          <cell r="I13" t="str">
            <v>KM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1.6667000000000001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 xml:space="preserve"> 100 bagian</v>
          </cell>
        </row>
        <row r="17">
          <cell r="A17">
            <v>8</v>
          </cell>
          <cell r="C17" t="str">
            <v>Proporsi Campuran :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J17" t="str">
            <v xml:space="preserve"> 80 bagian</v>
          </cell>
        </row>
        <row r="18">
          <cell r="A18">
            <v>2</v>
          </cell>
          <cell r="C18" t="str">
            <v>Penggalian dilakukan dengan menggunakan Excavator</v>
          </cell>
          <cell r="D18" t="str">
            <v>- Batu pecah 10/15</v>
          </cell>
          <cell r="G18" t="str">
            <v>Ah</v>
          </cell>
          <cell r="H18">
            <v>50</v>
          </cell>
          <cell r="I18" t="str">
            <v>%</v>
          </cell>
        </row>
        <row r="19">
          <cell r="A19">
            <v>3</v>
          </cell>
          <cell r="C19" t="str">
            <v>Selanjutnya Excavator menuangkan material hasil</v>
          </cell>
          <cell r="D19" t="str">
            <v>- Batu pecah 5/7</v>
          </cell>
          <cell r="G19" t="str">
            <v>St</v>
          </cell>
          <cell r="H19">
            <v>20</v>
          </cell>
          <cell r="I19" t="str">
            <v>%</v>
          </cell>
        </row>
        <row r="20">
          <cell r="A20" t="str">
            <v>II.</v>
          </cell>
          <cell r="C20" t="str">
            <v>URUTAN KERJA</v>
          </cell>
          <cell r="G20" t="str">
            <v>D2</v>
          </cell>
          <cell r="H20">
            <v>0.8</v>
          </cell>
          <cell r="I20" t="str">
            <v>Kg / liter</v>
          </cell>
        </row>
        <row r="21">
          <cell r="A21">
            <v>1</v>
          </cell>
          <cell r="C21" t="str">
            <v xml:space="preserve">Tenaga manusia memuat material </v>
          </cell>
          <cell r="G21" t="str">
            <v>L</v>
          </cell>
          <cell r="H21">
            <v>1</v>
          </cell>
          <cell r="I21" t="str">
            <v>Km</v>
          </cell>
        </row>
        <row r="22">
          <cell r="A22">
            <v>4</v>
          </cell>
          <cell r="C22" t="str">
            <v>dalam Dump Truck di Base Camp</v>
          </cell>
          <cell r="G22" t="str">
            <v>L</v>
          </cell>
          <cell r="H22">
            <v>1</v>
          </cell>
          <cell r="I22" t="str">
            <v>Km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A24" t="str">
            <v>III.</v>
          </cell>
          <cell r="C24" t="str">
            <v>pekerjaan dan dihampar / disusun dengan tenaga manusia</v>
          </cell>
        </row>
        <row r="25">
          <cell r="A25">
            <v>3</v>
          </cell>
          <cell r="C25" t="str">
            <v xml:space="preserve">Selama pemadatan, sekelompok pekerja akan merapikan tepi hamparan </v>
          </cell>
        </row>
        <row r="26">
          <cell r="A26" t="str">
            <v xml:space="preserve">   1.</v>
          </cell>
          <cell r="C26" t="str">
            <v>dan level permukaan dengan menggunakan alat bantu</v>
          </cell>
        </row>
        <row r="27">
          <cell r="A27">
            <v>2</v>
          </cell>
          <cell r="C27" t="str">
            <v>Tidak ada bahan yang diperlukan</v>
          </cell>
        </row>
        <row r="28">
          <cell r="C28" t="str">
            <v>dan kotoran dengan Air Compressor</v>
          </cell>
        </row>
        <row r="29">
          <cell r="A29" t="str">
            <v>III.</v>
          </cell>
          <cell r="C29" t="str">
            <v>PEMAKAIAN BAHAN, ALAT DAN TENAGA</v>
          </cell>
        </row>
        <row r="30">
          <cell r="A30" t="str">
            <v xml:space="preserve">   1.</v>
          </cell>
          <cell r="C30" t="str">
            <v>BAHAN</v>
          </cell>
          <cell r="G30" t="str">
            <v>(E10)</v>
          </cell>
        </row>
        <row r="31">
          <cell r="A31">
            <v>4</v>
          </cell>
          <cell r="C31" t="str">
            <v>- Pasir urug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</row>
        <row r="32">
          <cell r="C32" t="str">
            <v>- Batu 10/15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</row>
        <row r="33">
          <cell r="A33" t="str">
            <v>III.</v>
          </cell>
          <cell r="C33" t="str">
            <v>- Batu 5/7</v>
          </cell>
          <cell r="D33" t="str">
            <v>=  St x 1 M3 x Fk</v>
          </cell>
          <cell r="G33" t="str">
            <v>M06.b</v>
          </cell>
          <cell r="H33">
            <v>0.33339999999999997</v>
          </cell>
          <cell r="I33" t="str">
            <v>M3</v>
          </cell>
        </row>
        <row r="34">
          <cell r="A34" t="str">
            <v xml:space="preserve">   2.</v>
          </cell>
          <cell r="C34" t="str">
            <v>ALAT</v>
          </cell>
        </row>
        <row r="35">
          <cell r="A35" t="str">
            <v xml:space="preserve">   2.a.</v>
          </cell>
          <cell r="C35" t="str">
            <v>DUMP TRUCK</v>
          </cell>
          <cell r="G35" t="str">
            <v>(E08)</v>
          </cell>
          <cell r="I35" t="str">
            <v>menit</v>
          </cell>
        </row>
        <row r="36">
          <cell r="C36" t="str">
            <v>Kapasitas bak</v>
          </cell>
          <cell r="G36" t="str">
            <v>V</v>
          </cell>
          <cell r="H36">
            <v>4</v>
          </cell>
          <cell r="I36" t="str">
            <v>M3</v>
          </cell>
        </row>
        <row r="37">
          <cell r="C37" t="str">
            <v>Faktor Efisiensi alat</v>
          </cell>
          <cell r="D37" t="str">
            <v>( 1 liter x Fh )</v>
          </cell>
          <cell r="G37" t="str">
            <v>Fa</v>
          </cell>
          <cell r="H37">
            <v>0.83</v>
          </cell>
          <cell r="I37" t="str">
            <v>-</v>
          </cell>
          <cell r="J37" t="str">
            <v xml:space="preserve"> campuran</v>
          </cell>
        </row>
        <row r="38">
          <cell r="C38" t="str">
            <v>Kecepatan rata-rata bermuatan</v>
          </cell>
          <cell r="G38" t="str">
            <v>v1</v>
          </cell>
          <cell r="H38">
            <v>40</v>
          </cell>
          <cell r="I38" t="str">
            <v>KM/jam</v>
          </cell>
        </row>
        <row r="39">
          <cell r="A39" t="str">
            <v xml:space="preserve">   1.a.</v>
          </cell>
          <cell r="C39" t="str">
            <v>Kecepatan rata-rata kosong</v>
          </cell>
          <cell r="D39" t="str">
            <v>=   As x PC x D1</v>
          </cell>
          <cell r="G39" t="str">
            <v>v2</v>
          </cell>
          <cell r="H39">
            <v>50</v>
          </cell>
          <cell r="I39" t="str">
            <v>KM/jam</v>
          </cell>
        </row>
        <row r="40">
          <cell r="A40" t="str">
            <v xml:space="preserve">   1.b.</v>
          </cell>
          <cell r="C40" t="str">
            <v>Waktu Siklus :</v>
          </cell>
          <cell r="D40" t="str">
            <v>V  x Fb x Fa x 60</v>
          </cell>
          <cell r="G40" t="str">
            <v>Ts2</v>
          </cell>
          <cell r="H40">
            <v>31.125</v>
          </cell>
          <cell r="I40" t="str">
            <v>M3/Jam</v>
          </cell>
        </row>
        <row r="41">
          <cell r="C41" t="str">
            <v>- Waktu tempuh isi           =  (L : v1) x 60 menit</v>
          </cell>
          <cell r="D41" t="str">
            <v>Ts1 x Fh</v>
          </cell>
          <cell r="G41" t="str">
            <v>T1</v>
          </cell>
          <cell r="H41">
            <v>1.5</v>
          </cell>
          <cell r="I41" t="str">
            <v>menit</v>
          </cell>
        </row>
        <row r="42">
          <cell r="A42" t="str">
            <v xml:space="preserve">   2.</v>
          </cell>
          <cell r="C42" t="str">
            <v>- Waktu tempuh kosong  =  (L : v2) x 60 menit</v>
          </cell>
          <cell r="D42" t="str">
            <v xml:space="preserve"> =  1  :  Q1</v>
          </cell>
          <cell r="G42" t="str">
            <v>T2</v>
          </cell>
          <cell r="H42">
            <v>1.2</v>
          </cell>
          <cell r="I42" t="str">
            <v>menit</v>
          </cell>
        </row>
        <row r="43">
          <cell r="A43" t="str">
            <v xml:space="preserve">   2.a.</v>
          </cell>
          <cell r="C43" t="str">
            <v>- Lain-lain + mengisi + putar + tunggu</v>
          </cell>
          <cell r="D43" t="str">
            <v xml:space="preserve"> =  1  :  Q1</v>
          </cell>
          <cell r="G43" t="str">
            <v>T3</v>
          </cell>
          <cell r="H43">
            <v>20</v>
          </cell>
          <cell r="I43" t="str">
            <v>menit</v>
          </cell>
        </row>
        <row r="44">
          <cell r="A44" t="str">
            <v xml:space="preserve">   2.b.</v>
          </cell>
          <cell r="C44" t="str">
            <v>DUMP TRUCK</v>
          </cell>
          <cell r="G44" t="str">
            <v>Ts2</v>
          </cell>
          <cell r="H44">
            <v>22.7</v>
          </cell>
          <cell r="I44" t="str">
            <v>menit</v>
          </cell>
        </row>
        <row r="45">
          <cell r="A45" t="str">
            <v xml:space="preserve">   2.b.</v>
          </cell>
          <cell r="C45" t="str">
            <v>Kapasitas bak</v>
          </cell>
          <cell r="G45" t="str">
            <v>V</v>
          </cell>
          <cell r="H45">
            <v>4</v>
          </cell>
          <cell r="I45" t="str">
            <v>M3</v>
          </cell>
        </row>
        <row r="46">
          <cell r="C46" t="str">
            <v>Faktor  efisiensi alat</v>
          </cell>
          <cell r="G46" t="str">
            <v>Fa</v>
          </cell>
          <cell r="H46">
            <v>0.83</v>
          </cell>
          <cell r="I46" t="str">
            <v>-</v>
          </cell>
          <cell r="J46" t="str">
            <v>Berlanjut ke hal. berikut</v>
          </cell>
        </row>
        <row r="47">
          <cell r="C47" t="str">
            <v>Kecepatan rata-rata bermuatan</v>
          </cell>
          <cell r="D47" t="str">
            <v>V x Fa</v>
          </cell>
          <cell r="G47" t="str">
            <v>v1</v>
          </cell>
          <cell r="H47">
            <v>40</v>
          </cell>
          <cell r="I47" t="str">
            <v>KM/Jam</v>
          </cell>
        </row>
        <row r="48">
          <cell r="C48" t="str">
            <v>Kecepatan rata-rata kosong</v>
          </cell>
          <cell r="D48" t="str">
            <v>Ts</v>
          </cell>
          <cell r="G48" t="str">
            <v>v2</v>
          </cell>
          <cell r="H48">
            <v>60</v>
          </cell>
          <cell r="I48" t="str">
            <v>KM/Jam</v>
          </cell>
        </row>
        <row r="49">
          <cell r="C49" t="str">
            <v>Waktu  siklus</v>
          </cell>
          <cell r="D49" t="str">
            <v xml:space="preserve"> =  1  :  Q1</v>
          </cell>
          <cell r="G49" t="str">
            <v>Ts2</v>
          </cell>
          <cell r="H49">
            <v>3.0000000000000001E-3</v>
          </cell>
          <cell r="I49" t="str">
            <v>menit</v>
          </cell>
        </row>
        <row r="50">
          <cell r="C50" t="str">
            <v>- Waktu tempuh isi</v>
          </cell>
          <cell r="E50" t="str">
            <v>=   (L  :  v1)  x  60</v>
          </cell>
          <cell r="G50" t="str">
            <v>T1</v>
          </cell>
          <cell r="H50">
            <v>1.5</v>
          </cell>
          <cell r="I50" t="str">
            <v>menit</v>
          </cell>
        </row>
        <row r="51">
          <cell r="A51" t="str">
            <v xml:space="preserve">   2.b.</v>
          </cell>
          <cell r="C51" t="str">
            <v>- Waktu tempuh kosong</v>
          </cell>
          <cell r="E51" t="str">
            <v>=   (L  :  v2)  x  60</v>
          </cell>
          <cell r="G51" t="str">
            <v>T2</v>
          </cell>
          <cell r="H51">
            <v>1</v>
          </cell>
          <cell r="I51" t="str">
            <v>menit</v>
          </cell>
        </row>
        <row r="52">
          <cell r="C52" t="str">
            <v>- Muat</v>
          </cell>
          <cell r="E52" t="str">
            <v>=   (V  :  Q1) x 60</v>
          </cell>
          <cell r="G52" t="str">
            <v>T3</v>
          </cell>
          <cell r="H52">
            <v>7.7107999999999999</v>
          </cell>
          <cell r="I52" t="str">
            <v>menit</v>
          </cell>
        </row>
        <row r="53">
          <cell r="C53" t="str">
            <v>- Lain-lain</v>
          </cell>
          <cell r="E53" t="str">
            <v>=   (V  :  Q1) x 60</v>
          </cell>
          <cell r="G53" t="str">
            <v>T4</v>
          </cell>
          <cell r="H53">
            <v>0.5</v>
          </cell>
          <cell r="I53" t="str">
            <v>menit</v>
          </cell>
        </row>
        <row r="54">
          <cell r="C54" t="str">
            <v>Kap. Prod. / jam =</v>
          </cell>
          <cell r="D54" t="str">
            <v>( V x Ap )</v>
          </cell>
          <cell r="G54" t="str">
            <v>Ts2</v>
          </cell>
          <cell r="H54">
            <v>10.710799999999999</v>
          </cell>
          <cell r="I54" t="str">
            <v>menit</v>
          </cell>
        </row>
        <row r="55">
          <cell r="C55" t="str">
            <v>Koefisien Alat / Ltr</v>
          </cell>
          <cell r="D55" t="str">
            <v xml:space="preserve"> =  1  :  Q2</v>
          </cell>
          <cell r="G55" t="str">
            <v>(E05)</v>
          </cell>
          <cell r="H55">
            <v>3.0999999999999999E-3</v>
          </cell>
          <cell r="I55" t="str">
            <v>Jam</v>
          </cell>
          <cell r="J55" t="str">
            <v>Berlanjut ke halaman berikut</v>
          </cell>
        </row>
        <row r="56">
          <cell r="A56" t="str">
            <v>ITEM PEMBAYARAN NO.</v>
          </cell>
          <cell r="D56" t="str">
            <v>:  3.1 (1)</v>
          </cell>
          <cell r="J56" t="str">
            <v>Analisa EI-311</v>
          </cell>
        </row>
        <row r="57">
          <cell r="A57" t="str">
            <v>ITEM PEMBAYARAN NO.</v>
          </cell>
          <cell r="D57" t="str">
            <v>:  5.1 (6)</v>
          </cell>
          <cell r="J57" t="str">
            <v>Analisa El-516</v>
          </cell>
        </row>
        <row r="58">
          <cell r="A58" t="str">
            <v>JENIS PEKERJAAN</v>
          </cell>
          <cell r="D58" t="str">
            <v>:  Lps. Pondasi Telford</v>
          </cell>
          <cell r="H58" t="str">
            <v xml:space="preserve">         URAIAN ANALISA HARGA SATUAN</v>
          </cell>
          <cell r="J58" t="str">
            <v>Analisa EI-611</v>
          </cell>
        </row>
        <row r="59">
          <cell r="A59" t="str">
            <v>SATUAN PEMBAYARAN</v>
          </cell>
          <cell r="D59" t="str">
            <v>:  M3</v>
          </cell>
          <cell r="H59" t="str">
            <v xml:space="preserve">         URAIAN ANALISA HARGA SATUAN</v>
          </cell>
          <cell r="J59" t="str">
            <v>Lanjutan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</row>
        <row r="63">
          <cell r="A63" t="str">
            <v>No.</v>
          </cell>
          <cell r="C63" t="str">
            <v>U R A I A N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</row>
        <row r="65">
          <cell r="C65" t="str">
            <v>Kap. Prod. / jam =</v>
          </cell>
          <cell r="D65" t="str">
            <v>V x Fa x 60</v>
          </cell>
          <cell r="E65" t="str">
            <v xml:space="preserve">    Fk x Ts2</v>
          </cell>
          <cell r="G65" t="str">
            <v>Q1</v>
          </cell>
          <cell r="H65">
            <v>5.2651000000000003</v>
          </cell>
          <cell r="I65" t="str">
            <v>M3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E66" t="str">
            <v xml:space="preserve">    Fk x Ts2</v>
          </cell>
          <cell r="G66" t="str">
            <v>(E08)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</row>
        <row r="71">
          <cell r="A71" t="str">
            <v>2.c.</v>
          </cell>
          <cell r="C71" t="str">
            <v>Kecepatan rata-rata alat</v>
          </cell>
          <cell r="D71" t="str">
            <v xml:space="preserve"> =  1  :  Q3</v>
          </cell>
          <cell r="G71" t="str">
            <v>v</v>
          </cell>
          <cell r="H71">
            <v>2</v>
          </cell>
          <cell r="I71" t="str">
            <v>KM/jam</v>
          </cell>
        </row>
        <row r="72">
          <cell r="A72" t="str">
            <v>2.d.</v>
          </cell>
          <cell r="C72" t="str">
            <v>Lebar efektif pemadatan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</row>
        <row r="73">
          <cell r="A73" t="str">
            <v xml:space="preserve">   3.</v>
          </cell>
          <cell r="C73" t="str">
            <v>Jumlah lintasan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</row>
        <row r="74">
          <cell r="C74" t="str">
            <v>Faktor Efisiensi alat</v>
          </cell>
          <cell r="G74" t="str">
            <v>Fa</v>
          </cell>
          <cell r="H74">
            <v>0.83</v>
          </cell>
          <cell r="I74" t="str">
            <v>-</v>
          </cell>
        </row>
        <row r="75">
          <cell r="C75" t="str">
            <v>Produksi Lapis Resap Pengikat / hari  =  Tk x Q4</v>
          </cell>
          <cell r="G75" t="str">
            <v>Qt</v>
          </cell>
          <cell r="H75">
            <v>2324</v>
          </cell>
          <cell r="I75" t="str">
            <v>liter</v>
          </cell>
        </row>
        <row r="76">
          <cell r="A76" t="str">
            <v xml:space="preserve">   3.</v>
          </cell>
          <cell r="C76" t="str">
            <v>Kap. Prod. / jam =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</row>
        <row r="77">
          <cell r="A77" t="str">
            <v xml:space="preserve">   3.</v>
          </cell>
          <cell r="C77" t="str">
            <v>Produksi menentukan : EXCAVATOR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</row>
        <row r="78">
          <cell r="C78" t="str">
            <v>Koefisien Alat / M3</v>
          </cell>
          <cell r="D78" t="str">
            <v xml:space="preserve"> =  1  :  Q2</v>
          </cell>
          <cell r="G78" t="str">
            <v>(E16)</v>
          </cell>
          <cell r="H78">
            <v>2.6800000000000001E-2</v>
          </cell>
          <cell r="I78" t="str">
            <v>jam</v>
          </cell>
        </row>
        <row r="79">
          <cell r="C79" t="str">
            <v>Kebutuhan tenaga :</v>
          </cell>
          <cell r="G79" t="str">
            <v>Qt</v>
          </cell>
          <cell r="H79">
            <v>201.1156</v>
          </cell>
          <cell r="I79" t="str">
            <v>M3</v>
          </cell>
        </row>
        <row r="80">
          <cell r="A80" t="str">
            <v xml:space="preserve">   2.c.</v>
          </cell>
          <cell r="C80" t="str">
            <v>ALAT BANTU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</row>
        <row r="81">
          <cell r="C81" t="str">
            <v>Diperlukan   :</v>
          </cell>
          <cell r="D81" t="str">
            <v>- Mandor</v>
          </cell>
          <cell r="E81" t="str">
            <v>= (Tk x P) : Qt</v>
          </cell>
          <cell r="G81" t="str">
            <v>M</v>
          </cell>
          <cell r="H81">
            <v>1</v>
          </cell>
          <cell r="I81" t="str">
            <v>orang</v>
          </cell>
        </row>
        <row r="82">
          <cell r="C82" t="str">
            <v>- Kereta dorong</v>
          </cell>
          <cell r="D82" t="str">
            <v>=  2  buah.</v>
          </cell>
          <cell r="E82" t="str">
            <v>= (Tk x M) : Qt</v>
          </cell>
          <cell r="G82" t="str">
            <v>(L03)</v>
          </cell>
          <cell r="H82">
            <v>3.0000000000000001E-3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</row>
        <row r="84">
          <cell r="A84" t="str">
            <v>4.</v>
          </cell>
          <cell r="C84" t="str">
            <v>- Garpu</v>
          </cell>
          <cell r="D84" t="str">
            <v>=  2  buah.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</row>
        <row r="85">
          <cell r="C85" t="str">
            <v>Lihat lampiran.</v>
          </cell>
          <cell r="D85" t="str">
            <v>- Mandor</v>
          </cell>
          <cell r="E85" t="str">
            <v>= (Tk x M) : Qt</v>
          </cell>
          <cell r="G85" t="str">
            <v>(L03)</v>
          </cell>
          <cell r="H85">
            <v>3.2099999999999997E-2</v>
          </cell>
          <cell r="I85" t="str">
            <v>Jam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Produksi menentukan : THREE WHEEL ROLLER</v>
          </cell>
          <cell r="G87" t="str">
            <v>Q2</v>
          </cell>
          <cell r="H87">
            <v>37.35</v>
          </cell>
          <cell r="I87" t="str">
            <v>M3/jam</v>
          </cell>
        </row>
        <row r="88">
          <cell r="A88" t="str">
            <v>4.</v>
          </cell>
          <cell r="C88" t="str">
            <v>Produksi agregat / hari  =  Tk x Q2</v>
          </cell>
          <cell r="G88" t="str">
            <v>Qt</v>
          </cell>
          <cell r="H88">
            <v>261.45</v>
          </cell>
          <cell r="I88" t="str">
            <v>M3</v>
          </cell>
        </row>
        <row r="89">
          <cell r="C89" t="str">
            <v>Kebutuhan tenaga :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</row>
        <row r="91">
          <cell r="A91" t="str">
            <v>5.</v>
          </cell>
          <cell r="C91" t="str">
            <v>Lihat perhitungan dalam FORMULIR STANDAR UNTUK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PEREKEMAN ANALISA MASING-MASING HARGA</v>
          </cell>
        </row>
        <row r="93">
          <cell r="C93" t="str">
            <v>Koefisien tenaga / M3   :</v>
          </cell>
          <cell r="D93">
            <v>3899.3</v>
          </cell>
          <cell r="E93" t="str">
            <v xml:space="preserve"> / liter.</v>
          </cell>
        </row>
        <row r="94">
          <cell r="C94" t="str">
            <v>Didapat Harga Satuan Pekerjaan :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</row>
        <row r="97">
          <cell r="A97" t="str">
            <v>4.</v>
          </cell>
          <cell r="C97" t="str">
            <v>HARGA DASAR SATUAN UPAH, BAHAN DAN ALAT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</row>
        <row r="102">
          <cell r="C102" t="str">
            <v>PEREKAMAN ANALISA MASING-MASING HARGA</v>
          </cell>
        </row>
        <row r="103">
          <cell r="C103" t="str">
            <v>SATUAN.</v>
          </cell>
        </row>
        <row r="104">
          <cell r="C104" t="str">
            <v>Didapat Harga Satuan Pekerjaan :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</row>
        <row r="112">
          <cell r="A112" t="str">
            <v>JENIS PEKERJAAN</v>
          </cell>
          <cell r="D112" t="str">
            <v>:  Galian Struktur Kedalaman 0-2 M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</row>
        <row r="116">
          <cell r="A116" t="str">
            <v>ITEM PEMBAYARAN NO.</v>
          </cell>
          <cell r="C116" t="str">
            <v>U R A I A N</v>
          </cell>
          <cell r="D116" t="str">
            <v>:  8.5.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Analisa El-85</v>
          </cell>
        </row>
        <row r="117">
          <cell r="A117" t="str">
            <v>JENIS PEKERJAAN</v>
          </cell>
          <cell r="D117" t="str">
            <v>:  Lps. Pondasi Telford ( Minor)</v>
          </cell>
          <cell r="H117" t="str">
            <v xml:space="preserve">         URAIAN ANALISA HARGA SATUAN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>
            <v>1</v>
          </cell>
          <cell r="C120" t="str">
            <v>Pekerjaan dilakukan secara manual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 t="str">
            <v>No.</v>
          </cell>
          <cell r="C121" t="str">
            <v>U R A I A 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>
            <v>4</v>
          </cell>
          <cell r="C123" t="str">
            <v>Jam kerja efektif per-hari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 t="str">
            <v>I.</v>
          </cell>
          <cell r="C124" t="str">
            <v>ASUMSI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1</v>
          </cell>
          <cell r="C125" t="str">
            <v>Menggunakan tenaga manusia ( manual)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2</v>
          </cell>
          <cell r="C126" t="str">
            <v>Lokasi pekerjaan : sekitar jembatan</v>
          </cell>
          <cell r="G126" t="str">
            <v>L</v>
          </cell>
          <cell r="H126">
            <v>1</v>
          </cell>
          <cell r="I126" t="str">
            <v>KM</v>
          </cell>
        </row>
        <row r="127">
          <cell r="A127">
            <v>3</v>
          </cell>
          <cell r="C127" t="str">
            <v>Kondisi existing jalan : sedang</v>
          </cell>
          <cell r="G127" t="str">
            <v>Tk</v>
          </cell>
          <cell r="H127">
            <v>7</v>
          </cell>
          <cell r="I127" t="str">
            <v>Jam</v>
          </cell>
        </row>
        <row r="128">
          <cell r="A128">
            <v>4</v>
          </cell>
          <cell r="C128" t="str">
            <v>Jarak rata-rata Base Camp ke lokasi pekerjaan</v>
          </cell>
          <cell r="G128" t="str">
            <v>L</v>
          </cell>
          <cell r="H128">
            <v>1</v>
          </cell>
          <cell r="I128" t="str">
            <v>KM</v>
          </cell>
        </row>
        <row r="129">
          <cell r="A129">
            <v>5</v>
          </cell>
          <cell r="C129" t="str">
            <v>Tebal lapis agregat padat</v>
          </cell>
          <cell r="E129" t="str">
            <v>: - Volume Semen</v>
          </cell>
          <cell r="G129" t="str">
            <v>t</v>
          </cell>
          <cell r="H129">
            <v>0.15</v>
          </cell>
          <cell r="I129" t="str">
            <v>M</v>
          </cell>
        </row>
        <row r="130">
          <cell r="A130">
            <v>6</v>
          </cell>
          <cell r="C130" t="str">
            <v>Faktor kembang material (Padat-Lepas)</v>
          </cell>
          <cell r="E130" t="str">
            <v>: - Volume Pasir</v>
          </cell>
          <cell r="G130" t="str">
            <v>Fk</v>
          </cell>
          <cell r="H130">
            <v>1.6667000000000001</v>
          </cell>
          <cell r="I130" t="str">
            <v>-</v>
          </cell>
          <cell r="J130" t="str">
            <v xml:space="preserve"> 100 bagian</v>
          </cell>
        </row>
        <row r="131">
          <cell r="A131">
            <v>7</v>
          </cell>
          <cell r="C131" t="str">
            <v>Jam kerja efektif per-hari</v>
          </cell>
          <cell r="G131" t="str">
            <v>Tk</v>
          </cell>
          <cell r="H131">
            <v>7</v>
          </cell>
          <cell r="I131" t="str">
            <v>jam</v>
          </cell>
          <cell r="J131" t="str">
            <v xml:space="preserve"> 30 bagian</v>
          </cell>
        </row>
        <row r="132">
          <cell r="A132">
            <v>8</v>
          </cell>
          <cell r="C132" t="str">
            <v>Proporsi Campuran :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</row>
        <row r="133">
          <cell r="A133" t="str">
            <v>III.</v>
          </cell>
          <cell r="C133" t="str">
            <v>PEMAKAIAN BAHAN, ALAT DAN TENAGA</v>
          </cell>
          <cell r="D133" t="str">
            <v>- Batu pecah 10/15</v>
          </cell>
          <cell r="G133" t="str">
            <v>Ah</v>
          </cell>
          <cell r="H133">
            <v>50</v>
          </cell>
          <cell r="I133" t="str">
            <v>%</v>
          </cell>
        </row>
        <row r="134">
          <cell r="A134">
            <v>8</v>
          </cell>
          <cell r="C134" t="str">
            <v>- Kerosene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>II.</v>
          </cell>
          <cell r="C135" t="str">
            <v>URUTAN KERJA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 xml:space="preserve">Tenaga manusia memuat material 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</row>
        <row r="137">
          <cell r="C137" t="str">
            <v>dalam Dump Truck di Base Camp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>
            <v>2</v>
          </cell>
          <cell r="C138" t="str">
            <v>Dump Truck mengangkut Agregat ke lokasi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pekerjaan dan dihampar / disusun dengan tenaga manusia</v>
          </cell>
          <cell r="G139" t="str">
            <v>(E10)</v>
          </cell>
          <cell r="H139">
            <v>1.44</v>
          </cell>
          <cell r="I139" t="str">
            <v>ton/M3</v>
          </cell>
        </row>
        <row r="140">
          <cell r="A140">
            <v>3</v>
          </cell>
          <cell r="C140" t="str">
            <v xml:space="preserve">Selama pemadatan, sekelompok pekerja akan merapikan tepi hamparan </v>
          </cell>
          <cell r="E140" t="str">
            <v>- Batu</v>
          </cell>
          <cell r="G140" t="str">
            <v>V</v>
          </cell>
          <cell r="H140">
            <v>0.5</v>
          </cell>
          <cell r="I140" t="str">
            <v>M3</v>
          </cell>
        </row>
        <row r="141">
          <cell r="A141">
            <v>2</v>
          </cell>
          <cell r="C141" t="str">
            <v>dan level permukaan dengan menggunakan alat bantu</v>
          </cell>
          <cell r="E141" t="str">
            <v>- Pasir / Semen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A142" t="str">
            <v>II.</v>
          </cell>
          <cell r="C142" t="str">
            <v>Faktor  Efisiensi alat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3</v>
          </cell>
          <cell r="C143" t="str">
            <v>Faktor kedalaman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PEMAKAIAN BAHAN, ALAT DAN TENAGA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 t="str">
            <v xml:space="preserve">   1.</v>
          </cell>
          <cell r="C145" t="str">
            <v>BAHAN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</row>
        <row r="147">
          <cell r="A147" t="str">
            <v>III.</v>
          </cell>
          <cell r="C147" t="str">
            <v>- Batu 10/15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</row>
        <row r="148">
          <cell r="A148" t="str">
            <v>III.</v>
          </cell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2.a.</v>
          </cell>
          <cell r="C150" t="str">
            <v>DUMP TRUCK</v>
          </cell>
          <cell r="D150" t="str">
            <v>V  x Fb x Fa x Fd x Bim x 60</v>
          </cell>
          <cell r="G150" t="str">
            <v>(E08)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Kapasitas bak</v>
          </cell>
          <cell r="D151" t="str">
            <v>Te x Fh</v>
          </cell>
          <cell r="G151" t="str">
            <v>V</v>
          </cell>
          <cell r="H151">
            <v>4</v>
          </cell>
          <cell r="I151" t="str">
            <v>M3</v>
          </cell>
          <cell r="J151" t="str">
            <v xml:space="preserve"> campuran</v>
          </cell>
        </row>
        <row r="152">
          <cell r="A152" t="str">
            <v>1.b.</v>
          </cell>
          <cell r="C152" t="str">
            <v>Faktor Efisiensi alat</v>
          </cell>
          <cell r="D152" t="str">
            <v>Sm x {(Mr x D1 x 1 M3} : D3} x Fh2</v>
          </cell>
          <cell r="G152" t="str">
            <v>Fa</v>
          </cell>
          <cell r="H152">
            <v>0.83</v>
          </cell>
          <cell r="I152" t="str">
            <v>-</v>
          </cell>
        </row>
        <row r="153">
          <cell r="A153" t="str">
            <v xml:space="preserve">   1.a.</v>
          </cell>
          <cell r="C153" t="str">
            <v>Kecepatan rata-rata bermuatan</v>
          </cell>
          <cell r="D153" t="str">
            <v xml:space="preserve"> =  1  :  Q1</v>
          </cell>
          <cell r="G153" t="str">
            <v>v1</v>
          </cell>
          <cell r="H153">
            <v>40</v>
          </cell>
          <cell r="I153" t="str">
            <v>KM/jam</v>
          </cell>
        </row>
        <row r="154">
          <cell r="A154" t="str">
            <v xml:space="preserve">   1.b.</v>
          </cell>
          <cell r="C154" t="str">
            <v>Kecepatan rata-rata kosong</v>
          </cell>
          <cell r="D154" t="str">
            <v>=   K x PC</v>
          </cell>
          <cell r="G154" t="str">
            <v>v2</v>
          </cell>
          <cell r="H154">
            <v>50</v>
          </cell>
          <cell r="I154" t="str">
            <v>KM/jam</v>
          </cell>
        </row>
        <row r="155">
          <cell r="A155" t="str">
            <v>2.b.</v>
          </cell>
          <cell r="C155" t="str">
            <v>Waktu Siklus :</v>
          </cell>
          <cell r="G155" t="str">
            <v>Ts2</v>
          </cell>
        </row>
        <row r="156">
          <cell r="A156" t="str">
            <v xml:space="preserve">   2.</v>
          </cell>
          <cell r="C156" t="str">
            <v>- Waktu tempuh isi           =  (L : v1) x 60 menit</v>
          </cell>
          <cell r="G156" t="str">
            <v>T1</v>
          </cell>
          <cell r="H156">
            <v>1.5</v>
          </cell>
          <cell r="I156" t="str">
            <v>menit</v>
          </cell>
        </row>
        <row r="157">
          <cell r="A157" t="str">
            <v xml:space="preserve">   2.a.</v>
          </cell>
          <cell r="C157" t="str">
            <v>- Waktu tempuh kosong  =  (L : v2) x 60 menit</v>
          </cell>
          <cell r="G157" t="str">
            <v>T2</v>
          </cell>
          <cell r="H157">
            <v>1.2</v>
          </cell>
          <cell r="I157" t="str">
            <v>menit</v>
          </cell>
        </row>
        <row r="158">
          <cell r="C158" t="str">
            <v>- Lain-lain + mengisi + putar + tunggu + dump setempat-setempat.</v>
          </cell>
          <cell r="G158" t="str">
            <v>T3</v>
          </cell>
          <cell r="H158">
            <v>30</v>
          </cell>
          <cell r="I158" t="str">
            <v>menit</v>
          </cell>
        </row>
        <row r="159">
          <cell r="C159" t="str">
            <v>Kecepatan mundur</v>
          </cell>
          <cell r="D159" t="str">
            <v>=  2  buah</v>
          </cell>
          <cell r="G159" t="str">
            <v>Ts2</v>
          </cell>
          <cell r="H159">
            <v>32.700000000000003</v>
          </cell>
          <cell r="I159" t="str">
            <v>menit</v>
          </cell>
        </row>
        <row r="160">
          <cell r="C160" t="str">
            <v>Lebar Blade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Tinggi blade</v>
          </cell>
          <cell r="D161" t="str">
            <v>V x Fa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Jarak Gusur</v>
          </cell>
          <cell r="D162" t="str">
            <v>Ts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Volume 1 kali gusur =</v>
          </cell>
          <cell r="D163" t="str">
            <v xml:space="preserve"> =  1  :  Q1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 xml:space="preserve">Kapasitas alat   -----&gt;&gt;   diambil </v>
          </cell>
          <cell r="D166" t="str">
            <v>:  3.1 (3)</v>
          </cell>
          <cell r="G166" t="str">
            <v>V</v>
          </cell>
          <cell r="H166">
            <v>400</v>
          </cell>
          <cell r="I166" t="str">
            <v>M2 / Jam</v>
          </cell>
          <cell r="J166" t="str">
            <v>Analisa EI-314</v>
          </cell>
        </row>
        <row r="167">
          <cell r="A167" t="str">
            <v>JENIS PEKERJAAN</v>
          </cell>
          <cell r="C167" t="str">
            <v>Aplikasi Lapis Resap Pengikat rata-rata (Spesifikasi)</v>
          </cell>
          <cell r="D167" t="str">
            <v>:  Galian Struktur Kedalaman 0-2 M</v>
          </cell>
          <cell r="G167" t="str">
            <v>Ap</v>
          </cell>
          <cell r="H167">
            <v>0.4</v>
          </cell>
          <cell r="I167" t="str">
            <v>liter / M2</v>
          </cell>
        </row>
        <row r="168">
          <cell r="A168" t="str">
            <v>SATUAN PEMBAYARAN</v>
          </cell>
          <cell r="C168" t="str">
            <v>Kap. Prod. / jam =</v>
          </cell>
          <cell r="D168" t="str">
            <v>:  M3</v>
          </cell>
          <cell r="G168" t="str">
            <v>Q2</v>
          </cell>
          <cell r="H168" t="str">
            <v xml:space="preserve">         URAIAN ANALISA HARGA SATUAN</v>
          </cell>
          <cell r="I168" t="str">
            <v>liter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J169" t="str">
            <v>Lanjutan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KETERANGAN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</row>
        <row r="173">
          <cell r="A173" t="str">
            <v>ITEM PEMBAYARAN NO.</v>
          </cell>
          <cell r="D173" t="str">
            <v>:  8.5.</v>
          </cell>
          <cell r="J173" t="str">
            <v>Analisa El-85</v>
          </cell>
        </row>
        <row r="174">
          <cell r="A174" t="str">
            <v>JENIS PEKERJAAN</v>
          </cell>
          <cell r="C174" t="str">
            <v>Waktu Siklus</v>
          </cell>
          <cell r="D174" t="str">
            <v>:  Lps. Pondasi Telford ( Minor)</v>
          </cell>
          <cell r="H174" t="str">
            <v xml:space="preserve">         URAIAN ANALISA HARGA SATUAN</v>
          </cell>
          <cell r="J174" t="str">
            <v xml:space="preserve">         URAIAN ANALISA HARGA SATUAN</v>
          </cell>
        </row>
        <row r="175">
          <cell r="A175" t="str">
            <v>SATUAN PEMBAYARAN</v>
          </cell>
          <cell r="C175" t="str">
            <v>- Maju</v>
          </cell>
          <cell r="D175" t="str">
            <v>:  M3</v>
          </cell>
          <cell r="G175" t="str">
            <v>Tb1</v>
          </cell>
          <cell r="H175" t="str">
            <v xml:space="preserve">         URAIAN ANALISA HARGA SATUAN</v>
          </cell>
          <cell r="I175" t="str">
            <v>menit</v>
          </cell>
          <cell r="J175" t="str">
            <v>Lanjutan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</row>
        <row r="177">
          <cell r="A177" t="str">
            <v>No.</v>
          </cell>
          <cell r="C177" t="str">
            <v>- Lain-lain</v>
          </cell>
          <cell r="G177" t="str">
            <v>Tb3</v>
          </cell>
          <cell r="H177">
            <v>0.2</v>
          </cell>
          <cell r="I177" t="str">
            <v>menit</v>
          </cell>
          <cell r="J177" t="str">
            <v>KETERANGAN</v>
          </cell>
        </row>
        <row r="178">
          <cell r="A178" t="str">
            <v>No.</v>
          </cell>
          <cell r="C178" t="str">
            <v>U R A I A N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KETERANGAN</v>
          </cell>
        </row>
        <row r="180">
          <cell r="A180" t="str">
            <v xml:space="preserve">   2.c.</v>
          </cell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</row>
        <row r="181">
          <cell r="C181" t="str">
            <v>Kap. Prod. / jam =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</row>
        <row r="182">
          <cell r="C182" t="str">
            <v>Dump Truck melayani alat Asphalt Sprayer.</v>
          </cell>
          <cell r="D182" t="str">
            <v>Fk x Ts2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 xml:space="preserve"> =  1  :  Q1</v>
          </cell>
          <cell r="E183" t="str">
            <v>= (Tk x Tb) : Qt</v>
          </cell>
          <cell r="G183" t="str">
            <v>-</v>
          </cell>
          <cell r="H183">
            <v>0.27360000000000001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</row>
        <row r="186">
          <cell r="A186" t="str">
            <v xml:space="preserve">   2.b.</v>
          </cell>
          <cell r="C186" t="str">
            <v>TREE WHEEL ROLLER</v>
          </cell>
          <cell r="G186" t="str">
            <v>(E16 )</v>
          </cell>
        </row>
        <row r="187">
          <cell r="A187" t="str">
            <v xml:space="preserve">   3.</v>
          </cell>
          <cell r="C187" t="str">
            <v>Kecepatan rata-rata alat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</row>
        <row r="188">
          <cell r="C188" t="str">
            <v>Lebar efektif pemadatan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Jumlah lintasan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Faktor Efisiensi alat</v>
          </cell>
          <cell r="G190" t="str">
            <v>Fa</v>
          </cell>
          <cell r="H190">
            <v>0.83</v>
          </cell>
          <cell r="I190" t="str">
            <v>-</v>
          </cell>
        </row>
        <row r="191">
          <cell r="C191" t="str">
            <v>PEREKEMAN ANALISA MASING-MASING HARGA</v>
          </cell>
          <cell r="D191" t="str">
            <v>- Pekerja</v>
          </cell>
          <cell r="G191" t="str">
            <v>P</v>
          </cell>
          <cell r="H191">
            <v>10</v>
          </cell>
          <cell r="I191" t="str">
            <v>orang</v>
          </cell>
        </row>
        <row r="192">
          <cell r="A192" t="str">
            <v xml:space="preserve">   3.</v>
          </cell>
          <cell r="C192" t="str">
            <v>Kap. Prod. / jam =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</row>
        <row r="193">
          <cell r="C193" t="str">
            <v>Produksi menentukan : EXCAVATOR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Koefisien Alat / M3</v>
          </cell>
          <cell r="D194" t="str">
            <v xml:space="preserve"> =  1  :  Q2</v>
          </cell>
          <cell r="G194" t="str">
            <v>(E16)</v>
          </cell>
          <cell r="H194">
            <v>2.6800000000000001E-2</v>
          </cell>
          <cell r="I194" t="str">
            <v>jam</v>
          </cell>
        </row>
        <row r="195">
          <cell r="C195" t="str">
            <v>Kebutuhan tenaga :</v>
          </cell>
          <cell r="D195" t="str">
            <v>- Pekerja</v>
          </cell>
          <cell r="E195" t="str">
            <v>= (Tk x P) : Qt</v>
          </cell>
          <cell r="G195" t="str">
            <v>(L01)</v>
          </cell>
          <cell r="H195">
            <v>3.0099999999999998E-2</v>
          </cell>
          <cell r="I195" t="str">
            <v>Jam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E196" t="str">
            <v>= (Tk x M) : Qt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A198" t="str">
            <v>4.</v>
          </cell>
          <cell r="C198" t="str">
            <v>- Kereta dorong</v>
          </cell>
          <cell r="D198" t="str">
            <v>=  2  buah.</v>
          </cell>
        </row>
        <row r="199">
          <cell r="C199" t="str">
            <v>- Sekop</v>
          </cell>
          <cell r="D199" t="str">
            <v>=  3  buah.</v>
          </cell>
        </row>
        <row r="200">
          <cell r="C200" t="str">
            <v>- Garpu</v>
          </cell>
          <cell r="D200" t="str">
            <v>=  2  buah.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A201" t="str">
            <v>5.</v>
          </cell>
          <cell r="C201" t="str">
            <v>ANALISA HARGA SATUAN PEKERJAAN</v>
          </cell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Produksi menentukan : THREE WHEEL ROLLER</v>
          </cell>
          <cell r="G203" t="str">
            <v>Q2</v>
          </cell>
          <cell r="H203">
            <v>37.35</v>
          </cell>
          <cell r="I203" t="str">
            <v>M3/jam</v>
          </cell>
        </row>
        <row r="204">
          <cell r="C204" t="str">
            <v>Produksi agregat / hari  =  Tk x Q2</v>
          </cell>
          <cell r="G204" t="str">
            <v>Qt</v>
          </cell>
          <cell r="H204">
            <v>261.45</v>
          </cell>
          <cell r="I204" t="str">
            <v>M3</v>
          </cell>
        </row>
        <row r="205">
          <cell r="C205" t="str">
            <v>Kebutuhan tenaga :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</row>
        <row r="207">
          <cell r="C207" t="str">
            <v>Lihat perhitungan dalam FORMULIR STANDAR UNTUK</v>
          </cell>
          <cell r="D207" t="str">
            <v>- Mandor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</row>
        <row r="208">
          <cell r="C208" t="str">
            <v>PEREKEMAN ANALISA MASING-MASING HARGA</v>
          </cell>
        </row>
        <row r="209">
          <cell r="C209" t="str">
            <v>Koefisien tenaga / M3   :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</row>
        <row r="213">
          <cell r="A213" t="str">
            <v>4.</v>
          </cell>
          <cell r="C213" t="str">
            <v>HARGA DASAR SATUAN UPAH, BAHAN DAN ALAT</v>
          </cell>
        </row>
        <row r="214">
          <cell r="C214" t="str">
            <v>Lihat lampiran.</v>
          </cell>
        </row>
        <row r="216">
          <cell r="A216" t="str">
            <v>5.</v>
          </cell>
          <cell r="C216" t="str">
            <v>ANALISA HARGA SATUAN PEKERJAAN</v>
          </cell>
        </row>
        <row r="217">
          <cell r="C217" t="str">
            <v>Lihat perhitungan dalam FORMULIR STANDAR UNTUK</v>
          </cell>
        </row>
        <row r="218">
          <cell r="C218" t="str">
            <v>PEREKAMAN ANALISA MASING-MASING HARGA</v>
          </cell>
        </row>
        <row r="219">
          <cell r="C219" t="str">
            <v>SATUAN.</v>
          </cell>
        </row>
        <row r="221">
          <cell r="A221" t="str">
            <v>ITEM PEMBAYARAN NO.</v>
          </cell>
          <cell r="C221" t="str">
            <v>Rp.</v>
          </cell>
          <cell r="D221">
            <v>162447.83999999997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  <row r="229">
          <cell r="A229" t="str">
            <v>I.</v>
          </cell>
          <cell r="C229" t="str">
            <v>ASUMSI</v>
          </cell>
          <cell r="D229" t="str">
            <v>:  6.3 (4)</v>
          </cell>
          <cell r="J229" t="str">
            <v>Analisa EI-634</v>
          </cell>
        </row>
        <row r="230">
          <cell r="A230">
            <v>1</v>
          </cell>
          <cell r="C230" t="str">
            <v>Pekerjaan dilakukan secara manual</v>
          </cell>
          <cell r="D230" t="str">
            <v>:  Asphalt Treated Base (ATB)</v>
          </cell>
        </row>
        <row r="231">
          <cell r="A231">
            <v>2</v>
          </cell>
          <cell r="C231" t="str">
            <v>Lokasi pekerjaan : sekitar jembatan</v>
          </cell>
          <cell r="D231" t="str">
            <v>:  M3</v>
          </cell>
          <cell r="H231" t="str">
            <v xml:space="preserve">         URAIAN ANALISA HARGA SATUAN</v>
          </cell>
        </row>
        <row r="232">
          <cell r="A232">
            <v>3</v>
          </cell>
          <cell r="C232" t="str">
            <v>Kondisi Jalan   :  sedang / baik</v>
          </cell>
        </row>
      </sheetData>
      <sheetData sheetId="11" refreshError="1">
        <row r="1">
          <cell r="A1" t="str">
            <v>ITEM PEMBAYARAN NO.</v>
          </cell>
          <cell r="D1" t="str">
            <v>:  6.1 (1)</v>
          </cell>
          <cell r="J1" t="str">
            <v>Analisa EI-611</v>
          </cell>
          <cell r="T1" t="str">
            <v>Analisa EI-611</v>
          </cell>
        </row>
        <row r="2">
          <cell r="A2" t="str">
            <v>JENIS PEKERJAAN</v>
          </cell>
          <cell r="D2" t="str">
            <v>:  Lapis Resap Pengikat</v>
          </cell>
        </row>
        <row r="3">
          <cell r="A3" t="str">
            <v>SATUAN PEMBAYARAN</v>
          </cell>
          <cell r="D3" t="str">
            <v>:  LITER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PROYEK</v>
          </cell>
          <cell r="O6" t="str">
            <v>:  Peningkatan Jalan dan Jembatan Wilayah Barat</v>
          </cell>
        </row>
        <row r="7">
          <cell r="L7" t="str">
            <v>No. PAKET KONTRAK</v>
          </cell>
          <cell r="O7" t="str">
            <v xml:space="preserve">: </v>
          </cell>
        </row>
        <row r="8">
          <cell r="L8" t="str">
            <v>PEKERJAAN</v>
          </cell>
          <cell r="O8" t="str">
            <v>:  Pembangunan Jembatan Beton Tersebar di Wilayah Barat</v>
          </cell>
        </row>
        <row r="9">
          <cell r="A9" t="str">
            <v>I.</v>
          </cell>
          <cell r="C9" t="str">
            <v>ASUMSI</v>
          </cell>
          <cell r="L9" t="str">
            <v>KABUPATEN</v>
          </cell>
          <cell r="O9" t="str">
            <v>:  Lampung Timur</v>
          </cell>
        </row>
        <row r="10">
          <cell r="A10">
            <v>1</v>
          </cell>
          <cell r="C10" t="str">
            <v>Menggunakan alat berat (cara mekanik)</v>
          </cell>
          <cell r="L10" t="str">
            <v>ITEM PEMBAYARAN NO.</v>
          </cell>
          <cell r="O10" t="str">
            <v>:  6.1 (1)</v>
          </cell>
        </row>
        <row r="11">
          <cell r="A11">
            <v>2</v>
          </cell>
          <cell r="C11" t="str">
            <v>Lokasi pekerjaan : sepanjang jalan</v>
          </cell>
          <cell r="L11" t="str">
            <v>JENIS PEKERJAAN</v>
          </cell>
          <cell r="O11" t="str">
            <v>:  Lapis Resap Pengikat</v>
          </cell>
        </row>
        <row r="12">
          <cell r="A12">
            <v>3</v>
          </cell>
          <cell r="C12" t="str">
            <v>Jarak rata-rata Base Camp ke lokasi pekerjaan</v>
          </cell>
          <cell r="G12" t="str">
            <v>L</v>
          </cell>
          <cell r="H12">
            <v>1</v>
          </cell>
          <cell r="I12" t="str">
            <v>KM</v>
          </cell>
          <cell r="L12" t="str">
            <v>SATUAN PEMBAYARAN</v>
          </cell>
          <cell r="O12" t="str">
            <v>:  LITER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Pondasi Agregat Kls. A Untuk  Pek. Minor</v>
          </cell>
        </row>
        <row r="14">
          <cell r="A14">
            <v>5</v>
          </cell>
          <cell r="C14" t="str">
            <v>Faktor kehilangan bahan</v>
          </cell>
          <cell r="G14" t="str">
            <v>Fh</v>
          </cell>
          <cell r="H14">
            <v>1.1000000000000001</v>
          </cell>
          <cell r="I14" t="str">
            <v>-</v>
          </cell>
          <cell r="L14" t="str">
            <v>SATUAN PEMBAYARAN</v>
          </cell>
          <cell r="O14" t="str">
            <v>:  M3</v>
          </cell>
        </row>
        <row r="15">
          <cell r="A15">
            <v>6</v>
          </cell>
          <cell r="C15" t="str">
            <v>Komposisi campuran :</v>
          </cell>
          <cell r="G15" t="str">
            <v>Fk</v>
          </cell>
          <cell r="H15">
            <v>1.6667000000000001</v>
          </cell>
          <cell r="I15" t="str">
            <v>-</v>
          </cell>
          <cell r="Q15" t="str">
            <v>PERKIRAAN</v>
          </cell>
          <cell r="R15" t="str">
            <v>HARGA</v>
          </cell>
          <cell r="S15" t="str">
            <v>JUMLAH</v>
          </cell>
        </row>
        <row r="16">
          <cell r="A16">
            <v>7</v>
          </cell>
          <cell r="C16" t="str">
            <v>- Aspal AC-10 atau AC-20</v>
          </cell>
          <cell r="G16" t="str">
            <v>As</v>
          </cell>
          <cell r="H16">
            <v>56</v>
          </cell>
          <cell r="I16" t="str">
            <v>%</v>
          </cell>
          <cell r="J16" t="str">
            <v xml:space="preserve"> 100 bagian</v>
          </cell>
          <cell r="L16" t="str">
            <v>NO.</v>
          </cell>
          <cell r="N16" t="str">
            <v>KOMPONEN</v>
          </cell>
          <cell r="P16" t="str">
            <v>SATUAN</v>
          </cell>
          <cell r="Q16" t="str">
            <v>KUANTITAS</v>
          </cell>
          <cell r="R16" t="str">
            <v>SATUAN</v>
          </cell>
          <cell r="S16" t="str">
            <v>HARGA</v>
          </cell>
        </row>
        <row r="17">
          <cell r="A17">
            <v>8</v>
          </cell>
          <cell r="C17" t="str">
            <v>- Kerosene</v>
          </cell>
          <cell r="D17" t="str">
            <v>- Pasir urug</v>
          </cell>
          <cell r="G17" t="str">
            <v>K</v>
          </cell>
          <cell r="H17">
            <v>44</v>
          </cell>
          <cell r="I17" t="str">
            <v>%</v>
          </cell>
          <cell r="J17" t="str">
            <v xml:space="preserve"> 80 bagian</v>
          </cell>
          <cell r="Q17" t="str">
            <v>PERKIRAAN</v>
          </cell>
          <cell r="R17" t="str">
            <v>(Rp.)</v>
          </cell>
          <cell r="S17" t="str">
            <v>(Rp.)</v>
          </cell>
        </row>
        <row r="18">
          <cell r="A18">
            <v>7</v>
          </cell>
          <cell r="C18" t="str">
            <v>Berat jenis bahan :</v>
          </cell>
          <cell r="D18" t="str">
            <v>- Batu pecah 10/15</v>
          </cell>
          <cell r="G18" t="str">
            <v>Ah</v>
          </cell>
          <cell r="H18">
            <v>50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- Aspal AC-10 atau AC-20</v>
          </cell>
          <cell r="D19" t="str">
            <v>- Batu pecah 5/7</v>
          </cell>
          <cell r="G19" t="str">
            <v>D1</v>
          </cell>
          <cell r="H19">
            <v>1.05</v>
          </cell>
          <cell r="I19" t="str">
            <v>Kg / liter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- Minyak Flux / Pencair</v>
          </cell>
          <cell r="G20" t="str">
            <v>D2</v>
          </cell>
          <cell r="H20">
            <v>0.8</v>
          </cell>
          <cell r="I20" t="str">
            <v>Kg / liter</v>
          </cell>
          <cell r="L20" t="str">
            <v>A.</v>
          </cell>
          <cell r="N20" t="str">
            <v>TENAGA</v>
          </cell>
        </row>
        <row r="21">
          <cell r="A21">
            <v>8</v>
          </cell>
          <cell r="C21" t="str">
            <v>Bahan dasar (aspal &amp; minyak pencair) semuanya</v>
          </cell>
        </row>
        <row r="22">
          <cell r="A22">
            <v>2</v>
          </cell>
          <cell r="C22" t="str">
            <v>diterima di lokasi pekerjaan</v>
          </cell>
          <cell r="G22" t="str">
            <v>L</v>
          </cell>
          <cell r="H22">
            <v>1</v>
          </cell>
          <cell r="I22" t="str">
            <v>Km</v>
          </cell>
          <cell r="L22" t="str">
            <v>1.</v>
          </cell>
          <cell r="N22" t="str">
            <v>Pekerja</v>
          </cell>
          <cell r="O22" t="str">
            <v>(L01)</v>
          </cell>
          <cell r="P22" t="str">
            <v>Jam</v>
          </cell>
          <cell r="Q22">
            <v>3.0099999999999998E-2</v>
          </cell>
          <cell r="R22">
            <v>2500</v>
          </cell>
          <cell r="U22">
            <v>75.25</v>
          </cell>
        </row>
        <row r="23">
          <cell r="A23">
            <v>2</v>
          </cell>
          <cell r="C23" t="str">
            <v>Dump Truck mengangkut Agregat ke lokasi</v>
          </cell>
          <cell r="L23" t="str">
            <v>2.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3.0000000000000001E-3</v>
          </cell>
          <cell r="R23">
            <v>3571.43</v>
          </cell>
          <cell r="U23">
            <v>10.71</v>
          </cell>
        </row>
        <row r="24">
          <cell r="A24" t="str">
            <v>II.</v>
          </cell>
          <cell r="C24" t="str">
            <v>URUTAN KERJA</v>
          </cell>
          <cell r="L24" t="str">
            <v>1.</v>
          </cell>
          <cell r="N24" t="str">
            <v>Pekerja Biasa</v>
          </cell>
          <cell r="O24" t="str">
            <v>(L01)</v>
          </cell>
          <cell r="P24" t="str">
            <v>jam</v>
          </cell>
          <cell r="Q24">
            <v>0.44619999999999999</v>
          </cell>
          <cell r="R24">
            <v>2500</v>
          </cell>
          <cell r="U24">
            <v>1115.5</v>
          </cell>
        </row>
        <row r="25">
          <cell r="A25">
            <v>1</v>
          </cell>
          <cell r="C25" t="str">
            <v>Aspal dan Minyak Flux dicampur dan dipanaskan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1.78E-2</v>
          </cell>
          <cell r="R25">
            <v>3571.43</v>
          </cell>
          <cell r="U25">
            <v>63.57</v>
          </cell>
        </row>
        <row r="26">
          <cell r="A26">
            <v>4</v>
          </cell>
          <cell r="C26" t="str">
            <v>sehingga menjadi campuran aspal cair</v>
          </cell>
          <cell r="Q26" t="str">
            <v xml:space="preserve">JUMLAH HARGA TENAGA   </v>
          </cell>
          <cell r="U26">
            <v>85.960000000000008</v>
          </cell>
        </row>
        <row r="27">
          <cell r="A27">
            <v>2</v>
          </cell>
          <cell r="C27" t="str">
            <v>Permukaan yang akan dilapis dibersihkan dari debu</v>
          </cell>
        </row>
        <row r="28">
          <cell r="C28" t="str">
            <v>dan kotoran dengan Air Compressor</v>
          </cell>
          <cell r="L28" t="str">
            <v>B.</v>
          </cell>
          <cell r="N28" t="str">
            <v>BAHAN</v>
          </cell>
          <cell r="Q28" t="str">
            <v xml:space="preserve">JUMLAH HARGA TENAGA   </v>
          </cell>
          <cell r="U28">
            <v>1179.07</v>
          </cell>
        </row>
        <row r="29">
          <cell r="A29">
            <v>3</v>
          </cell>
          <cell r="C29" t="str">
            <v>Campuran aspal cair disemprotkan dengan Asphalt</v>
          </cell>
        </row>
        <row r="30">
          <cell r="A30" t="str">
            <v xml:space="preserve">   1.</v>
          </cell>
          <cell r="C30" t="str">
            <v>Sprayer ke atas permukaan yang akan dilapis.</v>
          </cell>
          <cell r="G30" t="str">
            <v>(E10)</v>
          </cell>
          <cell r="L30" t="str">
            <v>1.</v>
          </cell>
          <cell r="N30" t="str">
            <v>Aspal</v>
          </cell>
          <cell r="O30" t="str">
            <v>(M10)</v>
          </cell>
          <cell r="P30" t="str">
            <v>Kg</v>
          </cell>
          <cell r="Q30">
            <v>0.64680000000000004</v>
          </cell>
          <cell r="R30">
            <v>3500</v>
          </cell>
          <cell r="U30">
            <v>2263.8000000000002</v>
          </cell>
        </row>
        <row r="31">
          <cell r="A31">
            <v>4</v>
          </cell>
          <cell r="C31" t="str">
            <v>Angkutan Aspal &amp; Minyak Flux menggunakan Dump Truck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  <cell r="L31" t="str">
            <v>2.</v>
          </cell>
          <cell r="N31" t="str">
            <v>Kerosene</v>
          </cell>
          <cell r="O31" t="str">
            <v>(M11)</v>
          </cell>
          <cell r="P31" t="str">
            <v>liter</v>
          </cell>
          <cell r="Q31">
            <v>0.48399999999999999</v>
          </cell>
          <cell r="R31">
            <v>1500</v>
          </cell>
          <cell r="U31">
            <v>726</v>
          </cell>
        </row>
        <row r="32">
          <cell r="A32" t="str">
            <v xml:space="preserve">   1.</v>
          </cell>
          <cell r="C32" t="str">
            <v>- Batu 10/15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  <cell r="L32" t="str">
            <v>1.</v>
          </cell>
          <cell r="N32" t="str">
            <v>Agregat kasar</v>
          </cell>
          <cell r="O32" t="str">
            <v>(M03)</v>
          </cell>
          <cell r="P32" t="str">
            <v>M3</v>
          </cell>
          <cell r="Q32">
            <v>0.66</v>
          </cell>
          <cell r="R32">
            <v>0</v>
          </cell>
          <cell r="U32">
            <v>0</v>
          </cell>
        </row>
        <row r="33">
          <cell r="A33" t="str">
            <v>III.</v>
          </cell>
          <cell r="C33" t="str">
            <v>PEMAKAIAN BAHAN, ALAT DAN TENAGA</v>
          </cell>
          <cell r="D33" t="str">
            <v>=  St x 1 M3 x Fk</v>
          </cell>
          <cell r="G33" t="str">
            <v>M06.b</v>
          </cell>
          <cell r="H33">
            <v>0.33339999999999997</v>
          </cell>
          <cell r="I33" t="str">
            <v>M3</v>
          </cell>
          <cell r="L33" t="str">
            <v>2.</v>
          </cell>
          <cell r="N33" t="str">
            <v>Agregat halus</v>
          </cell>
          <cell r="O33" t="str">
            <v>(M04)</v>
          </cell>
          <cell r="P33" t="str">
            <v>M3</v>
          </cell>
          <cell r="Q33">
            <v>0.54</v>
          </cell>
          <cell r="R33">
            <v>0</v>
          </cell>
          <cell r="U33">
            <v>0</v>
          </cell>
        </row>
        <row r="34">
          <cell r="A34" t="str">
            <v xml:space="preserve">   2.</v>
          </cell>
          <cell r="C34" t="str">
            <v>ALAT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5">
          <cell r="A35" t="str">
            <v xml:space="preserve">   1.</v>
          </cell>
          <cell r="C35" t="str">
            <v>BAHAN</v>
          </cell>
          <cell r="G35" t="str">
            <v>(E08)</v>
          </cell>
          <cell r="I35" t="str">
            <v>menit</v>
          </cell>
        </row>
        <row r="36">
          <cell r="A36" t="str">
            <v xml:space="preserve">   2.</v>
          </cell>
          <cell r="C36" t="str">
            <v>Untuk mendapatkan 1 liter Lapis Resap Pengikat</v>
          </cell>
          <cell r="G36" t="str">
            <v>V</v>
          </cell>
          <cell r="H36">
            <v>4</v>
          </cell>
          <cell r="I36" t="str">
            <v>M3</v>
          </cell>
          <cell r="Q36" t="str">
            <v xml:space="preserve">JUMLAH HARGA BAHAN   </v>
          </cell>
          <cell r="U36">
            <v>2989.8</v>
          </cell>
        </row>
        <row r="37">
          <cell r="A37" t="str">
            <v xml:space="preserve">   2.a.</v>
          </cell>
          <cell r="C37" t="str">
            <v>diperlukan :</v>
          </cell>
          <cell r="D37" t="str">
            <v>( 1 liter x Fh )</v>
          </cell>
          <cell r="G37" t="str">
            <v>PC</v>
          </cell>
          <cell r="H37">
            <v>1.1000000000000001</v>
          </cell>
          <cell r="I37" t="str">
            <v>liter</v>
          </cell>
          <cell r="J37" t="str">
            <v xml:space="preserve"> campuran</v>
          </cell>
        </row>
        <row r="38">
          <cell r="C38" t="str">
            <v>Kecepatan rata-rata bermuatan</v>
          </cell>
          <cell r="G38" t="str">
            <v>v1</v>
          </cell>
          <cell r="H38">
            <v>40</v>
          </cell>
          <cell r="I38" t="str">
            <v>KM/jam</v>
          </cell>
          <cell r="L38" t="str">
            <v>C.</v>
          </cell>
          <cell r="N38" t="str">
            <v>PERALATAN</v>
          </cell>
          <cell r="Q38" t="str">
            <v xml:space="preserve">JUMLAH HARGA BAHAN   </v>
          </cell>
          <cell r="U38">
            <v>0</v>
          </cell>
        </row>
        <row r="39">
          <cell r="A39" t="str">
            <v xml:space="preserve">   1.a.</v>
          </cell>
          <cell r="C39" t="str">
            <v>Aspal</v>
          </cell>
          <cell r="D39" t="str">
            <v>=   As x PC x D1</v>
          </cell>
          <cell r="G39" t="str">
            <v>(M10)</v>
          </cell>
          <cell r="H39">
            <v>0.64680000000000004</v>
          </cell>
          <cell r="I39" t="str">
            <v>Kg.</v>
          </cell>
        </row>
        <row r="40">
          <cell r="A40" t="str">
            <v xml:space="preserve">   1.b.</v>
          </cell>
          <cell r="C40" t="str">
            <v>Kerosene</v>
          </cell>
          <cell r="D40" t="str">
            <v>=   K x PC</v>
          </cell>
          <cell r="G40" t="str">
            <v>(M11)</v>
          </cell>
          <cell r="H40">
            <v>0.48399999999999999</v>
          </cell>
          <cell r="I40" t="str">
            <v>Liter</v>
          </cell>
          <cell r="L40" t="str">
            <v>1.</v>
          </cell>
          <cell r="N40" t="str">
            <v>Asp. Sprayer</v>
          </cell>
          <cell r="O40" t="str">
            <v>(E03)</v>
          </cell>
          <cell r="P40" t="str">
            <v>Jam</v>
          </cell>
          <cell r="Q40">
            <v>3.0000000000000001E-3</v>
          </cell>
          <cell r="R40">
            <v>24722.73</v>
          </cell>
          <cell r="U40">
            <v>74.17</v>
          </cell>
        </row>
        <row r="41">
          <cell r="C41" t="str">
            <v>- Waktu tempuh isi           =  (L : v1) x 60 menit</v>
          </cell>
          <cell r="D41" t="str">
            <v>Ts1 x Fh</v>
          </cell>
          <cell r="G41" t="str">
            <v>T1</v>
          </cell>
          <cell r="H41">
            <v>1.5</v>
          </cell>
          <cell r="I41" t="str">
            <v>menit</v>
          </cell>
          <cell r="L41" t="str">
            <v>2.</v>
          </cell>
          <cell r="N41" t="str">
            <v>Compressor</v>
          </cell>
          <cell r="O41" t="str">
            <v>(E05)</v>
          </cell>
          <cell r="P41" t="str">
            <v>Jam</v>
          </cell>
          <cell r="Q41">
            <v>3.0999999999999999E-3</v>
          </cell>
          <cell r="R41">
            <v>47770.43</v>
          </cell>
          <cell r="U41">
            <v>148.09</v>
          </cell>
        </row>
        <row r="42">
          <cell r="A42" t="str">
            <v xml:space="preserve">   2.</v>
          </cell>
          <cell r="C42" t="str">
            <v>ALAT</v>
          </cell>
          <cell r="D42" t="str">
            <v xml:space="preserve"> =  1  :  Q1</v>
          </cell>
          <cell r="G42" t="str">
            <v>T2</v>
          </cell>
          <cell r="H42">
            <v>1.2</v>
          </cell>
          <cell r="I42" t="str">
            <v>menit</v>
          </cell>
          <cell r="L42" t="str">
            <v>3.</v>
          </cell>
          <cell r="N42" t="str">
            <v>Dump Truck</v>
          </cell>
          <cell r="O42" t="str">
            <v>(E08)</v>
          </cell>
          <cell r="P42" t="str">
            <v>Jam</v>
          </cell>
          <cell r="Q42">
            <v>3.0000000000000001E-3</v>
          </cell>
          <cell r="R42">
            <v>82267.929999999993</v>
          </cell>
          <cell r="U42">
            <v>246.8</v>
          </cell>
        </row>
        <row r="43">
          <cell r="A43" t="str">
            <v xml:space="preserve">   2.a.</v>
          </cell>
          <cell r="C43" t="str">
            <v>ASPHALT SPRAYER</v>
          </cell>
          <cell r="G43" t="str">
            <v>(E03)</v>
          </cell>
          <cell r="H43">
            <v>20</v>
          </cell>
          <cell r="I43" t="str">
            <v>menit</v>
          </cell>
          <cell r="L43" t="str">
            <v>2.</v>
          </cell>
          <cell r="N43" t="str">
            <v>Dump Truck</v>
          </cell>
          <cell r="O43" t="str">
            <v>(E09)</v>
          </cell>
          <cell r="P43" t="str">
            <v>jam</v>
          </cell>
          <cell r="Q43">
            <v>9.0399999999999994E-2</v>
          </cell>
          <cell r="R43">
            <v>102654.43</v>
          </cell>
          <cell r="U43">
            <v>9279.9599999999991</v>
          </cell>
        </row>
        <row r="44">
          <cell r="A44" t="str">
            <v xml:space="preserve">   2.b.</v>
          </cell>
          <cell r="C44" t="str">
            <v>Kapasitas alat</v>
          </cell>
          <cell r="G44" t="str">
            <v>V</v>
          </cell>
          <cell r="H44">
            <v>800</v>
          </cell>
          <cell r="I44" t="str">
            <v>liter</v>
          </cell>
          <cell r="L44" t="str">
            <v>3.</v>
          </cell>
          <cell r="N44" t="str">
            <v>Pedestrian Roller</v>
          </cell>
          <cell r="O44" t="str">
            <v>(E24)</v>
          </cell>
          <cell r="P44" t="str">
            <v>jam</v>
          </cell>
          <cell r="Q44">
            <v>4.82E-2</v>
          </cell>
          <cell r="R44">
            <v>28134.059999999998</v>
          </cell>
          <cell r="U44">
            <v>1356.06</v>
          </cell>
        </row>
        <row r="45">
          <cell r="C45" t="str">
            <v>Faktor efisiensi alat</v>
          </cell>
          <cell r="G45" t="str">
            <v>Fa</v>
          </cell>
          <cell r="H45">
            <v>0.83</v>
          </cell>
          <cell r="I45" t="str">
            <v>-</v>
          </cell>
          <cell r="L45" t="str">
            <v>4.</v>
          </cell>
          <cell r="N45" t="str">
            <v>Water Tanker</v>
          </cell>
          <cell r="O45" t="str">
            <v>(E23)</v>
          </cell>
          <cell r="P45" t="str">
            <v>jam</v>
          </cell>
          <cell r="Q45">
            <v>2.1100000000000001E-2</v>
          </cell>
          <cell r="R45">
            <v>82267.929999999993</v>
          </cell>
          <cell r="U45">
            <v>1735.85</v>
          </cell>
        </row>
        <row r="46">
          <cell r="C46" t="str">
            <v>Waktu Siklus (termasuk proses pemanasan)</v>
          </cell>
          <cell r="D46" t="str">
            <v>V x Fb x Fa x 60</v>
          </cell>
          <cell r="G46" t="str">
            <v>Ts</v>
          </cell>
          <cell r="H46">
            <v>2</v>
          </cell>
          <cell r="I46" t="str">
            <v>Jam</v>
          </cell>
          <cell r="J46" t="str">
            <v>Berlanjut ke hal. berikut</v>
          </cell>
          <cell r="L46" t="str">
            <v>5.</v>
          </cell>
          <cell r="N46" t="str">
            <v>Alat Bantu</v>
          </cell>
          <cell r="P46" t="str">
            <v>Ls</v>
          </cell>
          <cell r="Q46">
            <v>1</v>
          </cell>
          <cell r="R46">
            <v>2000</v>
          </cell>
          <cell r="U46">
            <v>2000</v>
          </cell>
        </row>
        <row r="47">
          <cell r="C47" t="str">
            <v>Kap. Prod. / jam =</v>
          </cell>
          <cell r="D47" t="str">
            <v>V x Fa</v>
          </cell>
          <cell r="G47" t="str">
            <v>Q1</v>
          </cell>
          <cell r="H47">
            <v>332</v>
          </cell>
          <cell r="I47" t="str">
            <v>liter</v>
          </cell>
        </row>
        <row r="48">
          <cell r="C48" t="str">
            <v>Koefisien Alat / M3</v>
          </cell>
          <cell r="D48" t="str">
            <v>Ts</v>
          </cell>
          <cell r="G48" t="str">
            <v>(E15)</v>
          </cell>
          <cell r="H48">
            <v>1.78E-2</v>
          </cell>
          <cell r="I48" t="str">
            <v>jam</v>
          </cell>
          <cell r="Q48" t="str">
            <v xml:space="preserve">JUMLAH HARGA PERALATAN   </v>
          </cell>
          <cell r="U48">
            <v>469.06</v>
          </cell>
        </row>
        <row r="49">
          <cell r="C49" t="str">
            <v>Koefisien Alat / Ltr</v>
          </cell>
          <cell r="D49" t="str">
            <v xml:space="preserve"> =  1  :  Q1</v>
          </cell>
          <cell r="G49" t="str">
            <v>(E03)</v>
          </cell>
          <cell r="H49">
            <v>3.0000000000000001E-3</v>
          </cell>
          <cell r="I49" t="str">
            <v>Jam</v>
          </cell>
          <cell r="L49" t="str">
            <v>D.</v>
          </cell>
          <cell r="N49" t="str">
            <v>JUMLAH HARGA TENAGA, BAHAN DAN PERALATAN  ( A + B + C )</v>
          </cell>
          <cell r="U49">
            <v>3544.82</v>
          </cell>
        </row>
        <row r="50">
          <cell r="A50" t="str">
            <v xml:space="preserve">   2.b.</v>
          </cell>
          <cell r="C50" t="str">
            <v>DUMP TRUCK</v>
          </cell>
          <cell r="E50" t="str">
            <v>=   (L  :  v1)  x  60</v>
          </cell>
          <cell r="G50" t="str">
            <v>(E09)</v>
          </cell>
          <cell r="H50">
            <v>1.5</v>
          </cell>
          <cell r="I50" t="str">
            <v>menit</v>
          </cell>
          <cell r="L50" t="str">
            <v>E.</v>
          </cell>
          <cell r="N50" t="str">
            <v>OVERHEAD &amp; PROFIT</v>
          </cell>
          <cell r="P50">
            <v>10</v>
          </cell>
          <cell r="Q50" t="str">
            <v>%  x  D</v>
          </cell>
          <cell r="U50">
            <v>354.48</v>
          </cell>
        </row>
        <row r="51">
          <cell r="A51" t="str">
            <v xml:space="preserve">   2.b.</v>
          </cell>
          <cell r="C51" t="str">
            <v>AIR COMPRESSOR</v>
          </cell>
          <cell r="E51" t="str">
            <v>=   (L  :  v2)  x  60</v>
          </cell>
          <cell r="G51" t="str">
            <v>(E05)</v>
          </cell>
          <cell r="H51">
            <v>6</v>
          </cell>
          <cell r="I51" t="str">
            <v>M3</v>
          </cell>
          <cell r="L51" t="str">
            <v>F.</v>
          </cell>
          <cell r="N51" t="str">
            <v>HARGA SATUAN PEKERJAAN  ( D + E )</v>
          </cell>
          <cell r="U51">
            <v>3899.3</v>
          </cell>
        </row>
        <row r="52">
          <cell r="C52" t="str">
            <v xml:space="preserve">Kapasitas alat   -----&gt;&gt;   diambil </v>
          </cell>
          <cell r="E52" t="str">
            <v>=   (V  :  Q1) x 60</v>
          </cell>
          <cell r="G52" t="str">
            <v>V</v>
          </cell>
          <cell r="H52">
            <v>400</v>
          </cell>
          <cell r="I52" t="str">
            <v>M2 / Jam</v>
          </cell>
          <cell r="Q52" t="str">
            <v xml:space="preserve">JUMLAH HARGA PERALATAN   </v>
          </cell>
          <cell r="U52">
            <v>16918.16</v>
          </cell>
        </row>
        <row r="53">
          <cell r="C53" t="str">
            <v>Aplikasi Lapis Resap Pengikat rata-rata (Spesifikasi)</v>
          </cell>
          <cell r="G53" t="str">
            <v>Ap</v>
          </cell>
          <cell r="H53">
            <v>0.8</v>
          </cell>
          <cell r="I53" t="str">
            <v>liter / M2</v>
          </cell>
          <cell r="L53" t="str">
            <v>Note: 1</v>
          </cell>
          <cell r="N53" t="str">
            <v>SATUAN dapat berdasarkan atas jam operasi untuk Tenaga Kerja dan Peralatan, volume dan/atau ukuran berat untuk bahan-bahan</v>
          </cell>
          <cell r="U53">
            <v>18097.23</v>
          </cell>
        </row>
        <row r="54">
          <cell r="C54" t="str">
            <v>Kap. Prod. / jam =</v>
          </cell>
          <cell r="D54" t="str">
            <v>( V x Ap )</v>
          </cell>
          <cell r="G54" t="str">
            <v>Q2</v>
          </cell>
          <cell r="H54">
            <v>320</v>
          </cell>
          <cell r="I54" t="str">
            <v>liter</v>
          </cell>
          <cell r="L54">
            <v>2</v>
          </cell>
          <cell r="N54" t="str">
            <v>Kuantitas satuan adalah kuantitas setiap komponen untuk menyelesaikan satu satuan pekerjaan dari nomor mata pembayaran</v>
          </cell>
          <cell r="P54">
            <v>10</v>
          </cell>
          <cell r="Q54" t="str">
            <v>%  x  D</v>
          </cell>
          <cell r="U54">
            <v>1809.72</v>
          </cell>
        </row>
        <row r="55">
          <cell r="C55" t="str">
            <v>Koefisien Alat / Ltr</v>
          </cell>
          <cell r="D55" t="str">
            <v xml:space="preserve"> =  1  :  Q2</v>
          </cell>
          <cell r="G55" t="str">
            <v>(E05)</v>
          </cell>
          <cell r="H55">
            <v>3.0999999999999999E-3</v>
          </cell>
          <cell r="I55" t="str">
            <v>Jam</v>
          </cell>
          <cell r="J55" t="str">
            <v>Berlanjut ke halaman berikut</v>
          </cell>
          <cell r="L55">
            <v>3</v>
          </cell>
          <cell r="N55" t="str">
            <v>Biaya satuan untuk peralatan sudah termasuk bahan bakar, bahan habis dipakai dan operator.</v>
          </cell>
          <cell r="U55">
            <v>19906.95</v>
          </cell>
        </row>
        <row r="56">
          <cell r="A56" t="str">
            <v>ITEM PEMBAYARAN NO.</v>
          </cell>
          <cell r="C56" t="str">
            <v>- Waktu tempuh isi  =  (L : v1) x 60 menit</v>
          </cell>
          <cell r="D56" t="str">
            <v>:  3.1 (1)</v>
          </cell>
          <cell r="G56" t="str">
            <v>T1</v>
          </cell>
          <cell r="H56">
            <v>1.5</v>
          </cell>
          <cell r="I56" t="str">
            <v>menit</v>
          </cell>
          <cell r="J56" t="str">
            <v>Analisa EI-311</v>
          </cell>
          <cell r="L56">
            <v>4</v>
          </cell>
          <cell r="N56" t="str">
            <v>Biaya satuan sudah termasuk pengeluaran untuk seluruh pajak yang berkaitan (tetapi tidak termasuk PPN yang dibayar dari kontrak )</v>
          </cell>
        </row>
        <row r="57">
          <cell r="A57" t="str">
            <v>ITEM PEMBAYARAN NO.</v>
          </cell>
          <cell r="C57" t="str">
            <v>- Waktu tempuh kosong  =  (L : v2) x 60 menit</v>
          </cell>
          <cell r="D57" t="str">
            <v>:  5.1 (6)</v>
          </cell>
          <cell r="G57" t="str">
            <v>T2</v>
          </cell>
          <cell r="H57">
            <v>1</v>
          </cell>
          <cell r="I57" t="str">
            <v>menit</v>
          </cell>
          <cell r="J57" t="str">
            <v>Berlanjut ke hal. berikut.</v>
          </cell>
          <cell r="L57" t="str">
            <v>Note: 1</v>
          </cell>
          <cell r="N57" t="str">
            <v>dan biaya-biaya lainnya.</v>
          </cell>
        </row>
        <row r="58">
          <cell r="A58" t="str">
            <v>ITEM PEMBAYARAN NO.</v>
          </cell>
          <cell r="C58" t="str">
            <v>- Lain-lain (termasuk dumping setempat-setempat)</v>
          </cell>
          <cell r="D58" t="str">
            <v>:  6.1 (1)</v>
          </cell>
          <cell r="G58" t="str">
            <v>T3</v>
          </cell>
          <cell r="H58">
            <v>20</v>
          </cell>
          <cell r="I58" t="str">
            <v>menit</v>
          </cell>
          <cell r="J58" t="str">
            <v>Analisa EI-611</v>
          </cell>
          <cell r="L58">
            <v>2</v>
          </cell>
          <cell r="N58" t="str">
            <v>Kuantitas satuan adalah kuantitas setiap komponen untuk menyelesaikan satu satuan pekerjaan dari nomor mata pembayaran</v>
          </cell>
          <cell r="T58" t="str">
            <v>Analisa EI-612</v>
          </cell>
        </row>
        <row r="59">
          <cell r="A59" t="str">
            <v>JENIS PEKERJAAN</v>
          </cell>
          <cell r="D59" t="str">
            <v>:  Lapis Resap Pengikat</v>
          </cell>
          <cell r="G59" t="str">
            <v>Ts2</v>
          </cell>
          <cell r="H59" t="str">
            <v xml:space="preserve">         URAIAN ANALISA HARGA SATUAN</v>
          </cell>
          <cell r="I59" t="str">
            <v>menit</v>
          </cell>
          <cell r="J59" t="str">
            <v>Lanjutan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  <cell r="L60" t="str">
            <v>FORMULIR STANDAR UNTUK</v>
          </cell>
          <cell r="N60" t="str">
            <v>Biaya satuan sudah termasuk pengeluaran untuk seluruh pajak yang berkaitan (tetapi tidak termasuk PPN yang dibayar dari ontrak )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Lanjutan</v>
          </cell>
          <cell r="L61" t="str">
            <v>PEREKAMAN ANALISA MASING-MASING HARGA SATUAN</v>
          </cell>
          <cell r="N61" t="str">
            <v>dan biaya-biaya lainnya.</v>
          </cell>
        </row>
        <row r="62">
          <cell r="A62" t="str">
            <v>No.</v>
          </cell>
          <cell r="C62" t="str">
            <v>U R A I A N</v>
          </cell>
          <cell r="D62" t="str">
            <v>:  8.1(1)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T62" t="str">
            <v>Analisa EI-812</v>
          </cell>
        </row>
        <row r="63">
          <cell r="A63" t="str">
            <v>No.</v>
          </cell>
          <cell r="C63" t="str">
            <v>U R A I A N</v>
          </cell>
          <cell r="D63" t="str">
            <v>:  Pondasi Agregat Kls. A Untuk Pek Minor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  <cell r="L63" t="str">
            <v>PROYEK</v>
          </cell>
          <cell r="O63" t="str">
            <v>:  Peningkatan Jalan dan Jembatan Wilayah Barat</v>
          </cell>
        </row>
        <row r="64">
          <cell r="A64" t="str">
            <v>SATUAN PEMBAYARAN</v>
          </cell>
          <cell r="C64" t="str">
            <v>Kapasitas Produksi / Jam   =</v>
          </cell>
          <cell r="D64" t="str">
            <v>:  M3</v>
          </cell>
          <cell r="E64" t="str">
            <v>V x Fa x 60</v>
          </cell>
          <cell r="G64" t="str">
            <v>Q2</v>
          </cell>
          <cell r="H64" t="str">
            <v xml:space="preserve">         URAIAN ANALISA HARGA SATUAN</v>
          </cell>
          <cell r="I64" t="str">
            <v xml:space="preserve">M3/Jam </v>
          </cell>
          <cell r="L64" t="str">
            <v>No. PAKET KONTRAK</v>
          </cell>
          <cell r="O64" t="str">
            <v xml:space="preserve">: </v>
          </cell>
        </row>
        <row r="65">
          <cell r="C65" t="str">
            <v>Kap. Prod. / jam =</v>
          </cell>
          <cell r="D65" t="str">
            <v>V x Fa x 60</v>
          </cell>
          <cell r="E65" t="str">
            <v xml:space="preserve">    Fk x Ts2</v>
          </cell>
          <cell r="G65" t="str">
            <v>Q1</v>
          </cell>
          <cell r="H65">
            <v>5.2651000000000003</v>
          </cell>
          <cell r="I65" t="str">
            <v>M3</v>
          </cell>
          <cell r="J65" t="str">
            <v>Lanjutan</v>
          </cell>
          <cell r="L65" t="str">
            <v>PEKERJAAN</v>
          </cell>
          <cell r="O65" t="str">
            <v>:  Pembangunan Jembatan Beton Tersebar di Wilayah Barat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G66" t="str">
            <v>(E08)</v>
          </cell>
          <cell r="L66" t="str">
            <v>KABUPATEN</v>
          </cell>
          <cell r="O66" t="str">
            <v>:  Lampung Timur</v>
          </cell>
        </row>
        <row r="67">
          <cell r="A67" t="str">
            <v>No.</v>
          </cell>
          <cell r="C67" t="str">
            <v>Sebagai alat pengangkut bahan di lokasi pekerjaan,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J67" t="str">
            <v>KETERANGAN</v>
          </cell>
          <cell r="L67" t="str">
            <v>ITEM PEMBAYARAN NO.</v>
          </cell>
          <cell r="O67" t="str">
            <v>:  6.1 (2)</v>
          </cell>
        </row>
        <row r="68">
          <cell r="C68" t="str">
            <v>Dump Truck melayani alat Asphalt Sprayer.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Lapis Perekat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  <cell r="L69" t="str">
            <v>SATUAN PEMBAYARAN</v>
          </cell>
          <cell r="O69" t="str">
            <v>:  LITER</v>
          </cell>
        </row>
        <row r="70">
          <cell r="A70" t="str">
            <v xml:space="preserve">   2.b.</v>
          </cell>
          <cell r="C70" t="str">
            <v>TREE WHEEL ROLLER</v>
          </cell>
          <cell r="D70" t="str">
            <v>V x Fa x 60</v>
          </cell>
          <cell r="G70" t="str">
            <v>(E16 )</v>
          </cell>
          <cell r="H70">
            <v>11.066700000000001</v>
          </cell>
          <cell r="I70" t="str">
            <v>M3</v>
          </cell>
          <cell r="L70" t="str">
            <v>No. PAKET KONTRAK</v>
          </cell>
          <cell r="O70" t="str">
            <v xml:space="preserve">: </v>
          </cell>
        </row>
        <row r="71">
          <cell r="A71" t="str">
            <v>2.c.</v>
          </cell>
          <cell r="C71" t="str">
            <v>Koefisien Alat / Ltr</v>
          </cell>
          <cell r="D71" t="str">
            <v xml:space="preserve"> =  1  :  Q3</v>
          </cell>
          <cell r="G71" t="str">
            <v>(E08)</v>
          </cell>
          <cell r="H71">
            <v>3.0000000000000001E-3</v>
          </cell>
          <cell r="I71" t="str">
            <v>Jam</v>
          </cell>
          <cell r="L71" t="str">
            <v>PEKERJAAN</v>
          </cell>
          <cell r="O71" t="str">
            <v>:  Pembangunan Jembatan Beton Tersebar di Wilayah Barat</v>
          </cell>
        </row>
        <row r="72">
          <cell r="C72" t="str">
            <v>Lebar efektif pemadatan</v>
          </cell>
          <cell r="D72" t="str">
            <v xml:space="preserve"> =  1  :  Q2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L72" t="str">
            <v>KABUPATEN</v>
          </cell>
          <cell r="O72" t="str">
            <v>:  Lampung Timur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A73" t="str">
            <v xml:space="preserve">   3.</v>
          </cell>
          <cell r="C73" t="str">
            <v>TENAGA</v>
          </cell>
          <cell r="G73" t="str">
            <v>n</v>
          </cell>
          <cell r="H73">
            <v>8</v>
          </cell>
          <cell r="I73" t="str">
            <v>lintasan</v>
          </cell>
          <cell r="L73" t="str">
            <v>NO.</v>
          </cell>
          <cell r="N73" t="str">
            <v>KOMPONEN</v>
          </cell>
          <cell r="O73" t="str">
            <v>:  8.1(2)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A74" t="str">
            <v xml:space="preserve">   2.c.</v>
          </cell>
          <cell r="C74" t="str">
            <v>Produksi menentukan : ASPHALT FINISHER</v>
          </cell>
          <cell r="G74" t="str">
            <v>Q4</v>
          </cell>
          <cell r="H74">
            <v>332</v>
          </cell>
          <cell r="I74" t="str">
            <v>liter</v>
          </cell>
          <cell r="L74" t="str">
            <v>JENIS PEKERJAAN</v>
          </cell>
          <cell r="O74" t="str">
            <v>:  Pondasi Agregat Kls. B Untuk  Pek. Minor</v>
          </cell>
          <cell r="R74" t="str">
            <v>(Rp.)</v>
          </cell>
          <cell r="S74" t="str">
            <v>(Rp.)</v>
          </cell>
        </row>
        <row r="75">
          <cell r="C75" t="str">
            <v>Produksi Lapis Resap Pengikat / hari  =  Tk x Q4</v>
          </cell>
          <cell r="G75" t="str">
            <v>Qt</v>
          </cell>
          <cell r="H75">
            <v>2324</v>
          </cell>
          <cell r="I75" t="str">
            <v>liter</v>
          </cell>
          <cell r="L75" t="str">
            <v>SATUAN PEMBAYARAN</v>
          </cell>
          <cell r="O75" t="str">
            <v>:  M3</v>
          </cell>
        </row>
        <row r="76">
          <cell r="A76" t="str">
            <v xml:space="preserve">   3.</v>
          </cell>
          <cell r="C76" t="str">
            <v>Kebutuhan tenaga :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</row>
        <row r="77">
          <cell r="C77" t="str">
            <v>Jumlah lintasan</v>
          </cell>
          <cell r="D77" t="str">
            <v>- Pekerja</v>
          </cell>
          <cell r="G77" t="str">
            <v>P</v>
          </cell>
          <cell r="H77">
            <v>10</v>
          </cell>
          <cell r="I77" t="str">
            <v>orang</v>
          </cell>
          <cell r="L77" t="str">
            <v>A.</v>
          </cell>
          <cell r="N77" t="str">
            <v>TENAGA</v>
          </cell>
        </row>
        <row r="78">
          <cell r="C78" t="str">
            <v>Koefisien Alat / M3</v>
          </cell>
          <cell r="D78" t="str">
            <v>- Mandor</v>
          </cell>
          <cell r="G78" t="str">
            <v>M</v>
          </cell>
          <cell r="H78">
            <v>1</v>
          </cell>
          <cell r="I78" t="str">
            <v>orang</v>
          </cell>
          <cell r="Q78" t="str">
            <v>PERKIRAAN</v>
          </cell>
          <cell r="R78" t="str">
            <v>HARGA</v>
          </cell>
          <cell r="S78" t="str">
            <v>JUMLAH</v>
          </cell>
        </row>
        <row r="79">
          <cell r="C79" t="str">
            <v>Kebutuhan tenaga :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3.0099999999999998E-2</v>
          </cell>
          <cell r="R79">
            <v>2500</v>
          </cell>
          <cell r="S79" t="str">
            <v>HARGA</v>
          </cell>
          <cell r="U79">
            <v>75.25</v>
          </cell>
        </row>
        <row r="80">
          <cell r="A80" t="str">
            <v xml:space="preserve">   2.c.</v>
          </cell>
          <cell r="C80" t="str">
            <v>Koefisien tenaga / liter   :</v>
          </cell>
          <cell r="D80" t="str">
            <v>(v x 1000) x b x t x Fa</v>
          </cell>
          <cell r="G80" t="str">
            <v>Q3</v>
          </cell>
          <cell r="H80">
            <v>20.75</v>
          </cell>
          <cell r="I80" t="str">
            <v>M3</v>
          </cell>
          <cell r="J80" t="str">
            <v xml:space="preserve"> Lump Sum</v>
          </cell>
          <cell r="L80" t="str">
            <v>2.</v>
          </cell>
          <cell r="N80" t="str">
            <v>Mandor</v>
          </cell>
          <cell r="O80" t="str">
            <v>(L03)</v>
          </cell>
          <cell r="P80" t="str">
            <v>Jam</v>
          </cell>
          <cell r="Q80">
            <v>3.0000000000000001E-3</v>
          </cell>
          <cell r="R80">
            <v>3571.43</v>
          </cell>
          <cell r="S80" t="str">
            <v>(Rp.)</v>
          </cell>
          <cell r="U80">
            <v>10.71</v>
          </cell>
        </row>
        <row r="81">
          <cell r="C81" t="str">
            <v>Diperlukan   :</v>
          </cell>
          <cell r="D81" t="str">
            <v>- Pekerja</v>
          </cell>
          <cell r="E81" t="str">
            <v>= (Tk x P) : Qt</v>
          </cell>
          <cell r="G81" t="str">
            <v>(L01)</v>
          </cell>
          <cell r="H81">
            <v>3.0099999999999998E-2</v>
          </cell>
          <cell r="I81" t="str">
            <v>Jam</v>
          </cell>
        </row>
        <row r="82">
          <cell r="C82" t="str">
            <v>- Kereta dorong</v>
          </cell>
          <cell r="D82" t="str">
            <v>- Mandor</v>
          </cell>
          <cell r="E82" t="str">
            <v>= (Tk x M) : Qt</v>
          </cell>
          <cell r="G82" t="str">
            <v>(L03)</v>
          </cell>
          <cell r="H82">
            <v>3.0000000000000001E-3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  <cell r="L83" t="str">
            <v>A.</v>
          </cell>
          <cell r="N83" t="str">
            <v>TENAGA</v>
          </cell>
          <cell r="Q83" t="str">
            <v xml:space="preserve">JUMLAH HARGA TENAGA   </v>
          </cell>
          <cell r="U83">
            <v>85.960000000000008</v>
          </cell>
        </row>
        <row r="84">
          <cell r="A84" t="str">
            <v>4.</v>
          </cell>
          <cell r="C84" t="str">
            <v>HARGA DASAR SATUAN UPAH, BAHAN DAN ALAT</v>
          </cell>
          <cell r="D84" t="str">
            <v>=  2  buah.</v>
          </cell>
          <cell r="E84" t="str">
            <v>= (Tk x P) : Qt</v>
          </cell>
          <cell r="G84" t="str">
            <v>(E23)</v>
          </cell>
          <cell r="H84">
            <v>6.4299999999999996E-2</v>
          </cell>
          <cell r="I84" t="str">
            <v>Jam</v>
          </cell>
        </row>
        <row r="85">
          <cell r="C85" t="str">
            <v>Lihat lampiran.</v>
          </cell>
          <cell r="D85" t="str">
            <v>- Mandor</v>
          </cell>
          <cell r="E85" t="str">
            <v>= (Tk x M) : Qt</v>
          </cell>
          <cell r="G85" t="str">
            <v>V</v>
          </cell>
          <cell r="H85">
            <v>4</v>
          </cell>
          <cell r="I85" t="str">
            <v>M3</v>
          </cell>
          <cell r="L85" t="str">
            <v>B.</v>
          </cell>
          <cell r="N85" t="str">
            <v>BAHAN</v>
          </cell>
          <cell r="O85" t="str">
            <v>(L01)</v>
          </cell>
          <cell r="P85" t="str">
            <v>jam</v>
          </cell>
          <cell r="Q85">
            <v>0.44619999999999999</v>
          </cell>
          <cell r="R85">
            <v>2500</v>
          </cell>
          <cell r="U85">
            <v>1115.5</v>
          </cell>
        </row>
        <row r="86">
          <cell r="A86" t="str">
            <v xml:space="preserve">   3.</v>
          </cell>
          <cell r="C86" t="str">
            <v>TENAGA</v>
          </cell>
          <cell r="G86" t="str">
            <v>Wc</v>
          </cell>
          <cell r="H86">
            <v>7.0000000000000007E-2</v>
          </cell>
          <cell r="I86" t="str">
            <v>M3</v>
          </cell>
          <cell r="L86" t="str">
            <v>2.</v>
          </cell>
          <cell r="N86" t="str">
            <v>Mandor</v>
          </cell>
          <cell r="O86" t="str">
            <v>(L03)</v>
          </cell>
          <cell r="P86" t="str">
            <v>jam</v>
          </cell>
          <cell r="Q86">
            <v>1.78E-2</v>
          </cell>
          <cell r="R86">
            <v>3571.43</v>
          </cell>
          <cell r="U86">
            <v>63.57</v>
          </cell>
        </row>
        <row r="87">
          <cell r="A87" t="str">
            <v>5.</v>
          </cell>
          <cell r="C87" t="str">
            <v>ANALISA HARGA SATUAN PEKERJAAN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Aspal</v>
          </cell>
          <cell r="O87" t="str">
            <v>(M10)</v>
          </cell>
          <cell r="P87" t="str">
            <v>Kg</v>
          </cell>
          <cell r="Q87">
            <v>0.88800000000000001</v>
          </cell>
          <cell r="R87">
            <v>3500</v>
          </cell>
          <cell r="U87">
            <v>3108</v>
          </cell>
        </row>
        <row r="88">
          <cell r="C88" t="str">
            <v>Lihat perhitungan dalam FORMULIR STANDAR UNTUK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Kerosene</v>
          </cell>
          <cell r="O88" t="str">
            <v>(M11)</v>
          </cell>
          <cell r="P88" t="str">
            <v>liter</v>
          </cell>
          <cell r="Q88">
            <v>0.253</v>
          </cell>
          <cell r="R88">
            <v>1500</v>
          </cell>
          <cell r="U88">
            <v>379.5</v>
          </cell>
        </row>
        <row r="89">
          <cell r="C89" t="str">
            <v>PEREKEMAN ANALISA MASING-MASING HARGA</v>
          </cell>
          <cell r="Q89" t="str">
            <v xml:space="preserve">JUMLAH HARGA TENAGA   </v>
          </cell>
          <cell r="U89">
            <v>1179.07</v>
          </cell>
        </row>
        <row r="90">
          <cell r="A90" t="str">
            <v>5.</v>
          </cell>
          <cell r="C90" t="str">
            <v>SATUAN.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</row>
        <row r="91">
          <cell r="C91" t="str">
            <v>Didapat Harga Satuan Pekerjaan :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  <cell r="L91" t="str">
            <v>B.</v>
          </cell>
          <cell r="N91" t="str">
            <v>BAHAN</v>
          </cell>
        </row>
        <row r="92">
          <cell r="C92" t="str">
            <v>Koefisien Alat / M3</v>
          </cell>
          <cell r="D92" t="str">
            <v xml:space="preserve"> =  1  :  Q4</v>
          </cell>
          <cell r="G92" t="str">
            <v>(E23)</v>
          </cell>
          <cell r="H92">
            <v>2.1100000000000001E-2</v>
          </cell>
          <cell r="I92" t="str">
            <v>jam</v>
          </cell>
        </row>
        <row r="93">
          <cell r="C93" t="str">
            <v xml:space="preserve">Rp.  </v>
          </cell>
          <cell r="D93">
            <v>3899.3</v>
          </cell>
          <cell r="E93" t="str">
            <v xml:space="preserve"> / liter.</v>
          </cell>
          <cell r="L93" t="str">
            <v>1.</v>
          </cell>
          <cell r="N93" t="str">
            <v xml:space="preserve">Agregat Kasar    </v>
          </cell>
          <cell r="O93" t="str">
            <v>(M03)</v>
          </cell>
          <cell r="P93" t="str">
            <v>M3</v>
          </cell>
          <cell r="Q93" t="str">
            <v xml:space="preserve">JUMLAH HARGA BAHAN   </v>
          </cell>
          <cell r="R93">
            <v>0</v>
          </cell>
          <cell r="U93">
            <v>3487.5</v>
          </cell>
        </row>
        <row r="94">
          <cell r="A94" t="str">
            <v xml:space="preserve">   2.e.</v>
          </cell>
          <cell r="C94" t="str">
            <v>ALAT BANTU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J94" t="str">
            <v xml:space="preserve"> Lump Sum</v>
          </cell>
          <cell r="L94" t="str">
            <v>2.</v>
          </cell>
          <cell r="N94" t="str">
            <v xml:space="preserve">Agregat Halus  </v>
          </cell>
          <cell r="O94" t="str">
            <v>(M04)</v>
          </cell>
          <cell r="P94" t="str">
            <v>M3</v>
          </cell>
          <cell r="Q94">
            <v>0.36</v>
          </cell>
          <cell r="R94">
            <v>0</v>
          </cell>
          <cell r="U94">
            <v>0</v>
          </cell>
        </row>
        <row r="95">
          <cell r="C95" t="str">
            <v>Diperlukan  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C.</v>
          </cell>
          <cell r="N95" t="str">
            <v>PERALATAN</v>
          </cell>
          <cell r="O95" t="str">
            <v>(M16)</v>
          </cell>
          <cell r="P95" t="str">
            <v>M3</v>
          </cell>
          <cell r="Q95">
            <v>0.36</v>
          </cell>
          <cell r="R95">
            <v>2800</v>
          </cell>
          <cell r="U95">
            <v>1008</v>
          </cell>
        </row>
        <row r="96">
          <cell r="C96" t="str">
            <v>- Kereta dorong</v>
          </cell>
          <cell r="D96" t="str">
            <v>= 5 buah</v>
          </cell>
          <cell r="E96" t="str">
            <v xml:space="preserve"> / M3</v>
          </cell>
        </row>
        <row r="97">
          <cell r="A97" t="str">
            <v>4.</v>
          </cell>
          <cell r="C97" t="str">
            <v>HARGA DASAR SATUAN UPAH, BAHAN DAN ALAT</v>
          </cell>
          <cell r="D97" t="str">
            <v>= 10 buah</v>
          </cell>
          <cell r="L97" t="str">
            <v>1.</v>
          </cell>
          <cell r="N97" t="str">
            <v>Asp. Sprayer</v>
          </cell>
          <cell r="O97" t="str">
            <v>(E03)</v>
          </cell>
          <cell r="P97" t="str">
            <v>Jam</v>
          </cell>
          <cell r="Q97">
            <v>3.0000000000000001E-3</v>
          </cell>
          <cell r="R97">
            <v>24722.73</v>
          </cell>
          <cell r="U97">
            <v>74.17</v>
          </cell>
        </row>
        <row r="98">
          <cell r="C98" t="str">
            <v>Lihat lampiran.</v>
          </cell>
          <cell r="D98" t="str">
            <v>= 10 buah</v>
          </cell>
          <cell r="L98" t="str">
            <v>2.</v>
          </cell>
          <cell r="N98" t="str">
            <v>Compressor</v>
          </cell>
          <cell r="O98" t="str">
            <v>(E05)</v>
          </cell>
          <cell r="P98" t="str">
            <v>Jam</v>
          </cell>
          <cell r="Q98">
            <v>6.3E-3</v>
          </cell>
          <cell r="R98">
            <v>47770.43</v>
          </cell>
          <cell r="U98">
            <v>300.95</v>
          </cell>
        </row>
        <row r="99">
          <cell r="L99" t="str">
            <v>3.</v>
          </cell>
          <cell r="N99" t="str">
            <v>Dump Truck</v>
          </cell>
          <cell r="O99" t="str">
            <v>(E08)</v>
          </cell>
          <cell r="P99" t="str">
            <v>Jam</v>
          </cell>
          <cell r="Q99">
            <v>3.0000000000000001E-3</v>
          </cell>
          <cell r="R99">
            <v>82267.929999999993</v>
          </cell>
          <cell r="U99">
            <v>246.8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G101" t="str">
            <v>Q1</v>
          </cell>
          <cell r="H101">
            <v>56.024999999999999</v>
          </cell>
          <cell r="I101" t="str">
            <v>M3/jam</v>
          </cell>
          <cell r="L101" t="str">
            <v>C.</v>
          </cell>
          <cell r="N101" t="str">
            <v>PERALATAN</v>
          </cell>
        </row>
        <row r="102">
          <cell r="C102" t="str">
            <v>PEREKAMAN ANALISA MASING-MASING HARGA</v>
          </cell>
          <cell r="G102" t="str">
            <v>Qt</v>
          </cell>
          <cell r="H102">
            <v>392.17500000000001</v>
          </cell>
          <cell r="I102" t="str">
            <v>M3</v>
          </cell>
        </row>
        <row r="103">
          <cell r="C103" t="str">
            <v>SATUAN.</v>
          </cell>
          <cell r="L103" t="str">
            <v>1.</v>
          </cell>
          <cell r="N103" t="str">
            <v>Wheel Loader</v>
          </cell>
          <cell r="O103" t="str">
            <v>(E15)</v>
          </cell>
          <cell r="P103" t="str">
            <v>jam</v>
          </cell>
          <cell r="Q103">
            <v>1.78E-2</v>
          </cell>
          <cell r="R103">
            <v>143049.93</v>
          </cell>
          <cell r="U103">
            <v>2546.29</v>
          </cell>
        </row>
        <row r="104">
          <cell r="C104" t="str">
            <v>Didapat Harga Satuan Pekerjaan :</v>
          </cell>
          <cell r="D104" t="str">
            <v>- Pekerja</v>
          </cell>
          <cell r="G104" t="str">
            <v>P</v>
          </cell>
          <cell r="H104">
            <v>25</v>
          </cell>
          <cell r="I104" t="str">
            <v>orang</v>
          </cell>
          <cell r="L104" t="str">
            <v>2.</v>
          </cell>
          <cell r="N104" t="str">
            <v>Dump Truck</v>
          </cell>
          <cell r="O104" t="str">
            <v>(E09)</v>
          </cell>
          <cell r="P104" t="str">
            <v>jam</v>
          </cell>
          <cell r="Q104">
            <v>9.0399999999999994E-2</v>
          </cell>
          <cell r="R104">
            <v>102654.43</v>
          </cell>
          <cell r="U104">
            <v>9279.9599999999991</v>
          </cell>
        </row>
        <row r="105">
          <cell r="D105" t="str">
            <v>- Mandor</v>
          </cell>
          <cell r="G105" t="str">
            <v>M</v>
          </cell>
          <cell r="H105">
            <v>1</v>
          </cell>
          <cell r="I105" t="str">
            <v>orang</v>
          </cell>
          <cell r="L105" t="str">
            <v>3.</v>
          </cell>
          <cell r="N105" t="str">
            <v xml:space="preserve">Pedestrian Roller </v>
          </cell>
          <cell r="O105" t="str">
            <v>(E24)</v>
          </cell>
          <cell r="P105" t="str">
            <v>jam</v>
          </cell>
          <cell r="Q105" t="str">
            <v xml:space="preserve">JUMLAH HARGA PERALATAN   </v>
          </cell>
          <cell r="R105">
            <v>28134.059999999998</v>
          </cell>
          <cell r="U105">
            <v>621.92000000000007</v>
          </cell>
        </row>
        <row r="106">
          <cell r="L106" t="str">
            <v>D.</v>
          </cell>
          <cell r="N106" t="str">
            <v>JUMLAH HARGA TENAGA, BAHAN DAN PERALATAN  ( A + B + C )</v>
          </cell>
          <cell r="O106" t="str">
            <v>(E23)</v>
          </cell>
          <cell r="P106" t="str">
            <v>jam</v>
          </cell>
          <cell r="Q106">
            <v>2.1100000000000001E-2</v>
          </cell>
          <cell r="R106">
            <v>82267.929999999993</v>
          </cell>
          <cell r="U106">
            <v>4195.38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 t="str">
            <v>E.</v>
          </cell>
          <cell r="N107" t="str">
            <v>OVERHEAD &amp; PROFIT</v>
          </cell>
          <cell r="P107">
            <v>10</v>
          </cell>
          <cell r="Q107" t="str">
            <v>%  x  D</v>
          </cell>
          <cell r="R107">
            <v>2000</v>
          </cell>
          <cell r="U107">
            <v>419.54</v>
          </cell>
        </row>
        <row r="108">
          <cell r="D108" t="str">
            <v>- Pekerja</v>
          </cell>
          <cell r="E108" t="str">
            <v>= (Tk x P) : Qt</v>
          </cell>
          <cell r="G108" t="str">
            <v>(L01)</v>
          </cell>
          <cell r="H108">
            <v>0.44619999999999999</v>
          </cell>
          <cell r="I108" t="str">
            <v>jam</v>
          </cell>
          <cell r="L108" t="str">
            <v>F.</v>
          </cell>
          <cell r="N108" t="str">
            <v>HARGA SATUAN PEKERJAAN  ( D + E )</v>
          </cell>
          <cell r="U108">
            <v>4614.92</v>
          </cell>
        </row>
        <row r="109">
          <cell r="D109" t="str">
            <v>- Mandor</v>
          </cell>
          <cell r="E109" t="str">
            <v>= (Tk x M) : Qt</v>
          </cell>
          <cell r="G109" t="str">
            <v>(L03)</v>
          </cell>
          <cell r="H109">
            <v>1.78E-2</v>
          </cell>
          <cell r="I109" t="str">
            <v>jam</v>
          </cell>
        </row>
        <row r="110">
          <cell r="L110" t="str">
            <v>Note: 1</v>
          </cell>
          <cell r="N110" t="str">
            <v>SATUAN dapat berdasarkan atas jam operasi untuk Tenaga Kerja dan Peralatan, volume dan/atau ukuran berat untuk bahan-bahan</v>
          </cell>
          <cell r="Q110" t="str">
            <v xml:space="preserve">JUMLAH HARGA PERALATAN   </v>
          </cell>
          <cell r="U110">
            <v>16577.739999999998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2</v>
          </cell>
          <cell r="N111" t="str">
            <v>Kuantitas satuan adalah kuantitas setiap komponen untuk menyelesaikan satu satuan pekerjaan dari nomor mata pembayaran</v>
          </cell>
          <cell r="U111">
            <v>18764.809999999998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3</v>
          </cell>
          <cell r="N112" t="str">
            <v>Biaya satuan untuk peralatan sudah termasuk bahan bakar, bahan habis dipakai dan operator.</v>
          </cell>
          <cell r="P112">
            <v>10</v>
          </cell>
          <cell r="Q112" t="str">
            <v>%  x  D</v>
          </cell>
          <cell r="U112">
            <v>1876.48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>
            <v>4</v>
          </cell>
          <cell r="N113" t="str">
            <v>Biaya satuan sudah termasuk pengeluaran untuk seluruh pajak yang berkaitan (tetapi tidak termasuk PPN yang dibayar dari kontrak )</v>
          </cell>
          <cell r="U113">
            <v>20641.289999999997</v>
          </cell>
        </row>
        <row r="114">
          <cell r="N114" t="str">
            <v>dan biaya-biaya lainnya.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  <cell r="L115" t="str">
            <v>Note: 1</v>
          </cell>
          <cell r="N115" t="str">
            <v>SATUAN dapat berdasarkan atas jam operasi untuk Tenaga Kerja dan Peralatan, volume dan/atau ukuran berat untuk bahan</v>
          </cell>
          <cell r="T115" t="str">
            <v>Analisa EI-634</v>
          </cell>
        </row>
        <row r="116">
          <cell r="A116" t="str">
            <v>JENIS PEKERJAAN</v>
          </cell>
          <cell r="C116" t="str">
            <v>U R A I A N</v>
          </cell>
          <cell r="D116" t="str">
            <v>:  Lapis Perekat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Analisa El-85</v>
          </cell>
          <cell r="L116">
            <v>2</v>
          </cell>
          <cell r="N116" t="str">
            <v>Kuantitas satuan adalah kuantitas setiap komponen untuk menyelesaikan satu satuan pekerjaan dari nomor mata pembayaran</v>
          </cell>
        </row>
        <row r="117">
          <cell r="A117" t="str">
            <v>SATUAN PEMBAYARAN</v>
          </cell>
          <cell r="D117" t="str">
            <v>:  LITER</v>
          </cell>
          <cell r="H117" t="str">
            <v xml:space="preserve">         URAIAN ANALISA HARGA SATUAN</v>
          </cell>
          <cell r="L117" t="str">
            <v>FORMULIR STANDAR UNTUK</v>
          </cell>
          <cell r="N117" t="str">
            <v>Biaya satuan untuk peralatan sudah termasuk bahan bakar, bahan habis dipakai dan operator.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  <cell r="L118" t="str">
            <v>PEREKAMAN ANALISA MASING-MASING HARGA SATUAN</v>
          </cell>
          <cell r="N118" t="str">
            <v>Biaya satuan sudah termasuk pengeluaran untuk seluruh pajak yang berkaitan (tetapi tidak termasuk PPN yang dibayar dari ontrak )</v>
          </cell>
        </row>
        <row r="119">
          <cell r="A119" t="str">
            <v>I.</v>
          </cell>
          <cell r="C119" t="str">
            <v>ASUMSI</v>
          </cell>
          <cell r="J119" t="str">
            <v>Berlanjut ke halaman berikut</v>
          </cell>
        </row>
        <row r="120">
          <cell r="A120" t="str">
            <v>No.</v>
          </cell>
          <cell r="C120" t="str">
            <v>U R A I A N</v>
          </cell>
          <cell r="D120" t="str">
            <v>:  8.1(1)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  <cell r="L120" t="str">
            <v>PROYEK</v>
          </cell>
          <cell r="O120" t="str">
            <v>:  Peningkatan Jalan dan Jembatan Wilayah Barat</v>
          </cell>
          <cell r="T120" t="str">
            <v>Analisa EI-817</v>
          </cell>
        </row>
        <row r="121">
          <cell r="A121" t="str">
            <v>No.</v>
          </cell>
          <cell r="C121" t="str">
            <v>U R A I A N</v>
          </cell>
          <cell r="D121" t="str">
            <v>:  Pondasi Agregat Kls. A Untuk Pek Minor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  <cell r="L121" t="str">
            <v>No. PAKET KONTRAK</v>
          </cell>
          <cell r="O121" t="str">
            <v xml:space="preserve">: </v>
          </cell>
        </row>
        <row r="122">
          <cell r="A122" t="str">
            <v>SATUAN PEMBAYARAN</v>
          </cell>
          <cell r="C122" t="str">
            <v>Kondisi Jalan   :  sedang / baik</v>
          </cell>
          <cell r="D122" t="str">
            <v>:  M3</v>
          </cell>
          <cell r="H122" t="str">
            <v xml:space="preserve">         URAIAN ANALISA HARGA SATUAN</v>
          </cell>
          <cell r="L122" t="str">
            <v>PEKERJAAN</v>
          </cell>
          <cell r="O122" t="str">
            <v>:  Pembangunan Jembatan Beton Tersebar di Wilayah Barat</v>
          </cell>
        </row>
        <row r="123">
          <cell r="A123" t="str">
            <v>I.</v>
          </cell>
          <cell r="C123" t="str">
            <v>ASUMSI</v>
          </cell>
          <cell r="G123" t="str">
            <v>Tk</v>
          </cell>
          <cell r="H123">
            <v>7</v>
          </cell>
          <cell r="I123" t="str">
            <v>Jam</v>
          </cell>
          <cell r="J123" t="str">
            <v>Lanjutan</v>
          </cell>
          <cell r="L123" t="str">
            <v>KABUPATEN</v>
          </cell>
          <cell r="O123" t="str">
            <v>:  Lampung Timur</v>
          </cell>
        </row>
        <row r="124">
          <cell r="A124">
            <v>1</v>
          </cell>
          <cell r="C124" t="str">
            <v>Menggunakan alat berat (cara mekanik)</v>
          </cell>
          <cell r="G124" t="str">
            <v>Fh</v>
          </cell>
          <cell r="H124">
            <v>1.2</v>
          </cell>
          <cell r="I124" t="str">
            <v>-</v>
          </cell>
          <cell r="L124" t="str">
            <v>ITEM PEMBAYARAN NO.</v>
          </cell>
          <cell r="O124" t="str">
            <v>:  6.3 (4)</v>
          </cell>
        </row>
        <row r="125">
          <cell r="A125">
            <v>2</v>
          </cell>
          <cell r="C125" t="str">
            <v>Lokasi pekerjaan : sepanjang jalan</v>
          </cell>
          <cell r="G125" t="str">
            <v>KODE</v>
          </cell>
          <cell r="H125" t="str">
            <v>KOEF.</v>
          </cell>
          <cell r="I125" t="str">
            <v>SATUAN</v>
          </cell>
          <cell r="J125" t="str">
            <v>KETERANGAN</v>
          </cell>
          <cell r="L125" t="str">
            <v>JENIS PEKERJAAN</v>
          </cell>
          <cell r="O125" t="str">
            <v>:  Asphalt Treated Base (ATB)</v>
          </cell>
        </row>
        <row r="126">
          <cell r="A126">
            <v>3</v>
          </cell>
          <cell r="C126" t="str">
            <v>Jarak rata-rata Base Camp ke lokasi pekerjaan</v>
          </cell>
          <cell r="G126" t="str">
            <v>L</v>
          </cell>
          <cell r="H126">
            <v>1</v>
          </cell>
          <cell r="I126" t="str">
            <v>KM</v>
          </cell>
          <cell r="L126" t="str">
            <v>SATUAN PEMBAYARAN</v>
          </cell>
          <cell r="O126" t="str">
            <v>:  M3</v>
          </cell>
        </row>
        <row r="127">
          <cell r="A127">
            <v>4</v>
          </cell>
          <cell r="C127" t="str">
            <v>Jam kerja efektif per-hari</v>
          </cell>
          <cell r="G127" t="str">
            <v>Tk</v>
          </cell>
          <cell r="H127">
            <v>7</v>
          </cell>
          <cell r="I127" t="str">
            <v>Jam</v>
          </cell>
          <cell r="L127" t="str">
            <v>No. PAKET KONTRAK</v>
          </cell>
          <cell r="O127" t="str">
            <v xml:space="preserve">: </v>
          </cell>
        </row>
        <row r="128">
          <cell r="A128">
            <v>5</v>
          </cell>
          <cell r="C128" t="str">
            <v>Faktor kehilangan bahan</v>
          </cell>
          <cell r="G128" t="str">
            <v>Fh</v>
          </cell>
          <cell r="H128">
            <v>1.1000000000000001</v>
          </cell>
          <cell r="I128" t="str">
            <v>-</v>
          </cell>
          <cell r="L128" t="str">
            <v>PEKERJAAN</v>
          </cell>
          <cell r="O128" t="str">
            <v>:  Pembangunan Jembatan Beton Tersebar di Wilayah Barat</v>
          </cell>
        </row>
        <row r="129">
          <cell r="A129">
            <v>6</v>
          </cell>
          <cell r="C129" t="str">
            <v>Komposisi campuran  (Spesifikasi)  :</v>
          </cell>
          <cell r="G129" t="str">
            <v>t</v>
          </cell>
          <cell r="H129">
            <v>0.15</v>
          </cell>
          <cell r="I129" t="str">
            <v>M</v>
          </cell>
          <cell r="L129" t="str">
            <v>KABUPATEN</v>
          </cell>
          <cell r="O129" t="str">
            <v>:  Lampung Timur</v>
          </cell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A130">
            <v>6</v>
          </cell>
          <cell r="C130" t="str">
            <v>- Aspal AC-10 atau AC-20</v>
          </cell>
          <cell r="G130" t="str">
            <v>As</v>
          </cell>
          <cell r="H130">
            <v>77</v>
          </cell>
          <cell r="I130" t="str">
            <v>%</v>
          </cell>
          <cell r="J130" t="str">
            <v xml:space="preserve"> 100 bagian</v>
          </cell>
          <cell r="L130" t="str">
            <v>NO.</v>
          </cell>
          <cell r="N130" t="str">
            <v>KOMPONEN</v>
          </cell>
          <cell r="O130" t="str">
            <v>:  8.1 (7)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A131">
            <v>7</v>
          </cell>
          <cell r="C131" t="str">
            <v>- Minyak Flux / Pencair</v>
          </cell>
          <cell r="G131" t="str">
            <v>K</v>
          </cell>
          <cell r="H131">
            <v>23</v>
          </cell>
          <cell r="I131" t="str">
            <v>%</v>
          </cell>
          <cell r="J131" t="str">
            <v xml:space="preserve"> 30 bagian</v>
          </cell>
          <cell r="L131" t="str">
            <v>JENIS PEKERJAAN</v>
          </cell>
          <cell r="O131" t="str">
            <v>:  Penetrasi Macadam Utk.Pek.Minor</v>
          </cell>
          <cell r="R131" t="str">
            <v>(Rp.)</v>
          </cell>
          <cell r="S131" t="str">
            <v>(Rp.)</v>
          </cell>
        </row>
        <row r="132">
          <cell r="A132">
            <v>7</v>
          </cell>
          <cell r="C132" t="str">
            <v>Berat jenis bahan :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  <cell r="L132" t="str">
            <v>SATUAN PEMBAYARAN</v>
          </cell>
          <cell r="O132" t="str">
            <v>:  M3</v>
          </cell>
        </row>
        <row r="133">
          <cell r="A133" t="str">
            <v>III.</v>
          </cell>
          <cell r="C133" t="str">
            <v>- Aspal AC-10 atau AC-20</v>
          </cell>
          <cell r="D133" t="str">
            <v>- Batu pecah 10/15</v>
          </cell>
          <cell r="G133" t="str">
            <v>D1</v>
          </cell>
          <cell r="H133">
            <v>1.0484</v>
          </cell>
          <cell r="I133" t="str">
            <v>Kg / liter</v>
          </cell>
        </row>
        <row r="134">
          <cell r="C134" t="str">
            <v>- Kerosene</v>
          </cell>
          <cell r="D134" t="str">
            <v>- Batu pecah 5/7</v>
          </cell>
          <cell r="G134" t="str">
            <v>D2</v>
          </cell>
          <cell r="H134">
            <v>0.8</v>
          </cell>
          <cell r="I134" t="str">
            <v>Kg / liter</v>
          </cell>
          <cell r="L134" t="str">
            <v>A.</v>
          </cell>
          <cell r="N134" t="str">
            <v>TENAGA</v>
          </cell>
        </row>
        <row r="135">
          <cell r="A135">
            <v>8</v>
          </cell>
          <cell r="C135" t="str">
            <v>Bahan dasar (aspal &amp; minyak pencair) semuanya</v>
          </cell>
          <cell r="Q135" t="str">
            <v>PERKIRAAN</v>
          </cell>
          <cell r="R135" t="str">
            <v>HARGA</v>
          </cell>
          <cell r="S135" t="str">
            <v>JUMLAH</v>
          </cell>
        </row>
        <row r="136">
          <cell r="A136">
            <v>1</v>
          </cell>
          <cell r="C136" t="str">
            <v>diterima di lokasi pekerjaan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  <cell r="L136" t="str">
            <v>1.</v>
          </cell>
          <cell r="N136" t="str">
            <v>Pekerja</v>
          </cell>
          <cell r="O136" t="str">
            <v>(L01)</v>
          </cell>
          <cell r="P136" t="str">
            <v>Jam</v>
          </cell>
          <cell r="Q136">
            <v>0.64659999999999995</v>
          </cell>
          <cell r="R136">
            <v>2500</v>
          </cell>
          <cell r="S136" t="str">
            <v>HARGA</v>
          </cell>
          <cell r="U136">
            <v>1616.5</v>
          </cell>
        </row>
        <row r="137">
          <cell r="C137" t="str">
            <v>dalam Dump Truck di Base Camp</v>
          </cell>
          <cell r="D137">
            <v>19906.95</v>
          </cell>
          <cell r="E137" t="str">
            <v xml:space="preserve"> / M3.</v>
          </cell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>
            <v>3571.43</v>
          </cell>
          <cell r="S137" t="str">
            <v>(Rp.)</v>
          </cell>
          <cell r="U137">
            <v>330</v>
          </cell>
        </row>
        <row r="138">
          <cell r="A138" t="str">
            <v>II.</v>
          </cell>
          <cell r="C138" t="str">
            <v>URUTAN KERJA</v>
          </cell>
        </row>
        <row r="139">
          <cell r="A139">
            <v>1</v>
          </cell>
          <cell r="C139" t="str">
            <v>Aspal dan Minyak Flux dicampur dan dipanaskan</v>
          </cell>
          <cell r="G139" t="str">
            <v>(E10)</v>
          </cell>
        </row>
        <row r="140">
          <cell r="A140">
            <v>3</v>
          </cell>
          <cell r="C140" t="str">
            <v>sehingga menjadi campuran aspal cair</v>
          </cell>
          <cell r="G140" t="str">
            <v>V</v>
          </cell>
          <cell r="H140">
            <v>0.5</v>
          </cell>
          <cell r="I140" t="str">
            <v>M3</v>
          </cell>
          <cell r="L140" t="str">
            <v>A.</v>
          </cell>
          <cell r="N140" t="str">
            <v>TENAGA</v>
          </cell>
          <cell r="Q140" t="str">
            <v xml:space="preserve">JUMLAH HARGA TENAGA   </v>
          </cell>
          <cell r="U140">
            <v>1946.5</v>
          </cell>
        </row>
        <row r="141">
          <cell r="A141">
            <v>2</v>
          </cell>
          <cell r="C141" t="str">
            <v>Permukaan yang akan dilapis dibersihkan dari debu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C142" t="str">
            <v>dan kotoran dengan Air Compressor</v>
          </cell>
          <cell r="G142" t="str">
            <v>Fa</v>
          </cell>
          <cell r="H142">
            <v>0.83</v>
          </cell>
          <cell r="I142" t="str">
            <v>-</v>
          </cell>
          <cell r="L142" t="str">
            <v>B.</v>
          </cell>
          <cell r="N142" t="str">
            <v>BAHAN</v>
          </cell>
          <cell r="O142" t="str">
            <v>(L01)</v>
          </cell>
          <cell r="P142" t="str">
            <v>Jam</v>
          </cell>
          <cell r="Q142">
            <v>7.2289000000000003</v>
          </cell>
          <cell r="R142">
            <v>2500</v>
          </cell>
          <cell r="U142">
            <v>18072.25</v>
          </cell>
        </row>
        <row r="143">
          <cell r="A143">
            <v>3</v>
          </cell>
          <cell r="C143" t="str">
            <v>Campuran aspal cair disemprotkan dengan Asphalt</v>
          </cell>
          <cell r="G143" t="str">
            <v>Fd</v>
          </cell>
          <cell r="H143">
            <v>0.8</v>
          </cell>
          <cell r="I143" t="str">
            <v>-</v>
          </cell>
          <cell r="L143" t="str">
            <v>2.</v>
          </cell>
          <cell r="N143" t="str">
            <v>Mandor</v>
          </cell>
          <cell r="O143" t="str">
            <v>(L03)</v>
          </cell>
          <cell r="P143" t="str">
            <v>Jam</v>
          </cell>
          <cell r="Q143">
            <v>0.16059999999999999</v>
          </cell>
          <cell r="R143">
            <v>3571.43</v>
          </cell>
          <cell r="U143">
            <v>573.57000000000005</v>
          </cell>
        </row>
        <row r="144">
          <cell r="A144" t="str">
            <v>III.</v>
          </cell>
          <cell r="C144" t="str">
            <v>Sprayer ke atas permukaan yang akan dilapis.</v>
          </cell>
          <cell r="G144" t="str">
            <v>Bim</v>
          </cell>
          <cell r="H144">
            <v>0.85</v>
          </cell>
          <cell r="I144" t="str">
            <v>-</v>
          </cell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A145">
            <v>4</v>
          </cell>
          <cell r="C145" t="str">
            <v>Angkutan Aspal &amp; Minyak Flux menggunakan Dump Truck</v>
          </cell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>
            <v>126.5</v>
          </cell>
          <cell r="R146">
            <v>100</v>
          </cell>
          <cell r="U146">
            <v>12650</v>
          </cell>
        </row>
        <row r="147">
          <cell r="A147" t="str">
            <v>III.</v>
          </cell>
          <cell r="C147" t="str">
            <v>PEMAKAIAN BAHAN, ALAT DAN TENAGA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48"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  <cell r="L148" t="str">
            <v>B.</v>
          </cell>
          <cell r="N148" t="str">
            <v>BAHAN</v>
          </cell>
        </row>
        <row r="149">
          <cell r="A149" t="str">
            <v xml:space="preserve">   1.</v>
          </cell>
          <cell r="C149" t="str">
            <v>BAHAN</v>
          </cell>
        </row>
        <row r="150">
          <cell r="A150" t="str">
            <v xml:space="preserve">   2.a.</v>
          </cell>
          <cell r="C150" t="str">
            <v>Untuk mendapatkan 1 liter Lapis Resap Pengikat</v>
          </cell>
          <cell r="D150" t="str">
            <v>V  x Fb x Fa x Fd x Bim x 60</v>
          </cell>
          <cell r="G150" t="str">
            <v>(E08)</v>
          </cell>
          <cell r="H150">
            <v>21.164999999999999</v>
          </cell>
          <cell r="I150" t="str">
            <v>M3/Jam</v>
          </cell>
          <cell r="L150" t="str">
            <v>1.</v>
          </cell>
          <cell r="N150" t="str">
            <v>Agregat Kasar</v>
          </cell>
          <cell r="O150" t="str">
            <v>(M03a)</v>
          </cell>
          <cell r="P150" t="str">
            <v>M3</v>
          </cell>
          <cell r="Q150" t="str">
            <v xml:space="preserve">JUMLAH HARGA BAHAN   </v>
          </cell>
          <cell r="R150">
            <v>120100</v>
          </cell>
          <cell r="U150">
            <v>709112.4</v>
          </cell>
        </row>
        <row r="151">
          <cell r="C151" t="str">
            <v>diperlukan :</v>
          </cell>
          <cell r="D151" t="str">
            <v>( 1 liter x Fh )</v>
          </cell>
          <cell r="G151" t="str">
            <v>PC</v>
          </cell>
          <cell r="H151">
            <v>1.1000000000000001</v>
          </cell>
          <cell r="I151" t="str">
            <v>liter</v>
          </cell>
          <cell r="J151" t="str">
            <v xml:space="preserve"> campuran</v>
          </cell>
          <cell r="L151" t="str">
            <v>2.</v>
          </cell>
          <cell r="N151" t="str">
            <v>Agregat Halus</v>
          </cell>
          <cell r="O151" t="str">
            <v>(M04a)</v>
          </cell>
          <cell r="P151" t="str">
            <v>M3</v>
          </cell>
          <cell r="Q151">
            <v>0.30559999999999998</v>
          </cell>
          <cell r="R151">
            <v>115100</v>
          </cell>
          <cell r="U151">
            <v>35174.559999999998</v>
          </cell>
        </row>
        <row r="152">
          <cell r="C152" t="str">
            <v>Faktor Efisiensi alat</v>
          </cell>
          <cell r="G152" t="str">
            <v>Fa</v>
          </cell>
          <cell r="H152">
            <v>0.83</v>
          </cell>
          <cell r="I152" t="str">
            <v>-</v>
          </cell>
          <cell r="L152" t="str">
            <v>C.</v>
          </cell>
          <cell r="N152" t="str">
            <v>PERALATAN</v>
          </cell>
          <cell r="O152" t="str">
            <v>(M10)</v>
          </cell>
          <cell r="P152" t="str">
            <v>Kg</v>
          </cell>
          <cell r="Q152">
            <v>109.2</v>
          </cell>
          <cell r="R152">
            <v>3500</v>
          </cell>
          <cell r="U152">
            <v>382200</v>
          </cell>
        </row>
        <row r="153">
          <cell r="A153" t="str">
            <v xml:space="preserve">   1.a.</v>
          </cell>
          <cell r="C153" t="str">
            <v>Aspal</v>
          </cell>
          <cell r="D153" t="str">
            <v>=   As x PC x D1</v>
          </cell>
          <cell r="G153" t="str">
            <v>(M10)</v>
          </cell>
          <cell r="H153">
            <v>0.88800000000000001</v>
          </cell>
          <cell r="I153" t="str">
            <v>Kg</v>
          </cell>
          <cell r="L153" t="str">
            <v>1.</v>
          </cell>
          <cell r="N153" t="str">
            <v>Wheel Loader</v>
          </cell>
          <cell r="O153" t="str">
            <v>(E15)</v>
          </cell>
          <cell r="P153" t="str">
            <v>Jam</v>
          </cell>
          <cell r="Q153">
            <v>3.7999999999999999E-2</v>
          </cell>
          <cell r="R153">
            <v>143049.93</v>
          </cell>
          <cell r="U153">
            <v>5435.9</v>
          </cell>
        </row>
        <row r="154">
          <cell r="A154" t="str">
            <v xml:space="preserve">   1.b.</v>
          </cell>
          <cell r="C154" t="str">
            <v>Kerosene</v>
          </cell>
          <cell r="D154" t="str">
            <v>=   K x PC</v>
          </cell>
          <cell r="G154" t="str">
            <v>(M11)</v>
          </cell>
          <cell r="H154">
            <v>0.253</v>
          </cell>
          <cell r="I154" t="str">
            <v>liter</v>
          </cell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A155" t="str">
            <v>2.b.</v>
          </cell>
          <cell r="C155" t="str">
            <v>Waktu Siklus :</v>
          </cell>
          <cell r="G155" t="str">
            <v>Ts2</v>
          </cell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A156" t="str">
            <v xml:space="preserve">   2.</v>
          </cell>
          <cell r="C156" t="str">
            <v>ALAT</v>
          </cell>
          <cell r="G156" t="str">
            <v>T1</v>
          </cell>
          <cell r="H156">
            <v>1.5</v>
          </cell>
          <cell r="I156" t="str">
            <v>menit</v>
          </cell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>
            <v>0.1946</v>
          </cell>
          <cell r="R156">
            <v>102654.43</v>
          </cell>
          <cell r="U156">
            <v>19976.55</v>
          </cell>
        </row>
        <row r="157">
          <cell r="A157" t="str">
            <v xml:space="preserve">   2.a.</v>
          </cell>
          <cell r="C157" t="str">
            <v>ASPHALT SPRAYER</v>
          </cell>
          <cell r="G157" t="str">
            <v>(E03)</v>
          </cell>
          <cell r="H157">
            <v>1.2</v>
          </cell>
          <cell r="I157" t="str">
            <v>menit</v>
          </cell>
          <cell r="L157" t="str">
            <v>5.</v>
          </cell>
          <cell r="N157" t="str">
            <v xml:space="preserve">Asphalt Finisher     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C158" t="str">
            <v>Kapasitas alat</v>
          </cell>
          <cell r="G158" t="str">
            <v>V</v>
          </cell>
          <cell r="H158">
            <v>800</v>
          </cell>
          <cell r="I158" t="str">
            <v>liter</v>
          </cell>
          <cell r="L158" t="str">
            <v>6.</v>
          </cell>
          <cell r="N158" t="str">
            <v>Tandem Roller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C159" t="str">
            <v>Faktor efisiensi alat</v>
          </cell>
          <cell r="G159" t="str">
            <v>Fa</v>
          </cell>
          <cell r="H159">
            <v>0.83</v>
          </cell>
          <cell r="I159" t="str">
            <v>-</v>
          </cell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C160" t="str">
            <v>Waktu Siklus (termasuk proses pemanasan)</v>
          </cell>
          <cell r="G160" t="str">
            <v>Ts</v>
          </cell>
          <cell r="H160">
            <v>2</v>
          </cell>
          <cell r="I160" t="str">
            <v>Jam</v>
          </cell>
          <cell r="L160" t="str">
            <v>8</v>
          </cell>
          <cell r="N160" t="str">
            <v>Alat Bantu</v>
          </cell>
          <cell r="O160" t="str">
            <v>(E15)</v>
          </cell>
          <cell r="P160" t="str">
            <v>Ls</v>
          </cell>
          <cell r="Q160">
            <v>1</v>
          </cell>
          <cell r="R160">
            <v>3500</v>
          </cell>
          <cell r="U160">
            <v>3500</v>
          </cell>
        </row>
        <row r="161">
          <cell r="C161" t="str">
            <v>Kap. Prod. / jam =</v>
          </cell>
          <cell r="D161" t="str">
            <v>V x Fa</v>
          </cell>
          <cell r="G161" t="str">
            <v>Q1</v>
          </cell>
          <cell r="H161">
            <v>332</v>
          </cell>
          <cell r="I161" t="str">
            <v>liter</v>
          </cell>
          <cell r="J161" t="str">
            <v>Berlanjut ke hal. berikut</v>
          </cell>
          <cell r="L161" t="str">
            <v>2.</v>
          </cell>
          <cell r="N161" t="str">
            <v>Dump Truck</v>
          </cell>
          <cell r="O161" t="str">
            <v>(E09)</v>
          </cell>
          <cell r="P161" t="str">
            <v>Jam</v>
          </cell>
          <cell r="Q161">
            <v>5.9200000000000003E-2</v>
          </cell>
          <cell r="R161">
            <v>102654.43</v>
          </cell>
          <cell r="U161">
            <v>6077.14</v>
          </cell>
        </row>
        <row r="162">
          <cell r="C162" t="str">
            <v>Jarak Gusur</v>
          </cell>
          <cell r="D162" t="str">
            <v>Ts</v>
          </cell>
          <cell r="G162" t="str">
            <v>L</v>
          </cell>
          <cell r="H162">
            <v>75</v>
          </cell>
          <cell r="I162" t="str">
            <v>M</v>
          </cell>
          <cell r="L162" t="str">
            <v>3.</v>
          </cell>
          <cell r="N162" t="str">
            <v>3-Wheel Roller</v>
          </cell>
          <cell r="O162" t="str">
            <v>[E16]</v>
          </cell>
          <cell r="P162" t="str">
            <v>Jam</v>
          </cell>
          <cell r="Q162" t="str">
            <v xml:space="preserve">JUMLAH HARGA PERALATAN   </v>
          </cell>
          <cell r="R162">
            <v>70179.929999999993</v>
          </cell>
          <cell r="U162">
            <v>132636.69</v>
          </cell>
        </row>
        <row r="163">
          <cell r="C163" t="str">
            <v>Koefisien Alat / Ltr</v>
          </cell>
          <cell r="D163" t="str">
            <v xml:space="preserve"> =  1  :  Q1</v>
          </cell>
          <cell r="E163" t="str">
            <v>H^2 x B x Fb</v>
          </cell>
          <cell r="G163" t="str">
            <v>(E03)</v>
          </cell>
          <cell r="H163">
            <v>3.0000000000000001E-3</v>
          </cell>
          <cell r="I163" t="str">
            <v>Jam</v>
          </cell>
          <cell r="J163" t="str">
            <v>Loose</v>
          </cell>
          <cell r="L163" t="str">
            <v>D.</v>
          </cell>
          <cell r="N163" t="str">
            <v>JUMLAH HARGA TENAGA, BAHAN DAN PERALATAN  ( A + B + C )</v>
          </cell>
          <cell r="O163" t="str">
            <v>(E03)</v>
          </cell>
          <cell r="P163" t="str">
            <v>Jam</v>
          </cell>
          <cell r="Q163">
            <v>0.31019999999999998</v>
          </cell>
          <cell r="R163">
            <v>24722.73</v>
          </cell>
          <cell r="U163">
            <v>843695.59000000008</v>
          </cell>
        </row>
        <row r="164">
          <cell r="L164" t="str">
            <v>E.</v>
          </cell>
          <cell r="N164" t="str">
            <v>OVERHEAD &amp; PROFIT</v>
          </cell>
          <cell r="P164">
            <v>10</v>
          </cell>
          <cell r="Q164" t="str">
            <v>%  x  D</v>
          </cell>
          <cell r="R164">
            <v>500</v>
          </cell>
          <cell r="U164">
            <v>84369.56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J165" t="str">
            <v>Berlanjut ke halaman berikut</v>
          </cell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6">
          <cell r="A166" t="str">
            <v>ITEM PEMBAYARAN NO.</v>
          </cell>
          <cell r="C166" t="str">
            <v xml:space="preserve">Kapasitas alat   -----&gt;&gt;   diambil </v>
          </cell>
          <cell r="D166" t="str">
            <v>:  3.1 (3)</v>
          </cell>
          <cell r="G166" t="str">
            <v>V</v>
          </cell>
          <cell r="H166">
            <v>400</v>
          </cell>
          <cell r="I166" t="str">
            <v>M2 / Jam</v>
          </cell>
          <cell r="J166" t="str">
            <v>Analisa EI-314</v>
          </cell>
        </row>
        <row r="167">
          <cell r="A167" t="str">
            <v>JENIS PEKERJAAN</v>
          </cell>
          <cell r="C167" t="str">
            <v>Aplikasi Lapis Resap Pengikat rata-rata (Spesifikasi)</v>
          </cell>
          <cell r="D167" t="str">
            <v>:  Galian Struktur Kedalaman 0-2 M</v>
          </cell>
          <cell r="G167" t="str">
            <v>Ap</v>
          </cell>
          <cell r="H167">
            <v>0.4</v>
          </cell>
          <cell r="I167" t="str">
            <v>liter / M2</v>
          </cell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A168" t="str">
            <v>SATUAN PEMBAYARAN</v>
          </cell>
          <cell r="C168" t="str">
            <v>Kap. Prod. / jam =</v>
          </cell>
          <cell r="D168" t="str">
            <v>( V x Ap )</v>
          </cell>
          <cell r="G168" t="str">
            <v>Q2</v>
          </cell>
          <cell r="H168">
            <v>160</v>
          </cell>
          <cell r="I168" t="str">
            <v>liter</v>
          </cell>
          <cell r="L168">
            <v>2</v>
          </cell>
          <cell r="N168" t="str">
            <v>Kuantitas satuan adalah kuantitas setiap komponen untuk menyelesaikan satu satuan pekerjaan dari nomor mata pembayaran</v>
          </cell>
          <cell r="Q168" t="str">
            <v xml:space="preserve">JUMLAH HARGA PERALATAN   </v>
          </cell>
          <cell r="U168">
            <v>19881.580000000002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J169" t="str">
            <v>Lanjutan</v>
          </cell>
          <cell r="L169">
            <v>3</v>
          </cell>
          <cell r="N169" t="str">
            <v>Biaya satuan untuk peralatan sudah termasuk bahan bakar, bahan habis dipakai dan operator.</v>
          </cell>
          <cell r="U169">
            <v>618969.68999999994</v>
          </cell>
        </row>
        <row r="170">
          <cell r="L170">
            <v>4</v>
          </cell>
          <cell r="N170" t="str">
            <v>Biaya satuan sudah termasuk pengeluaran untuk seluruh pajak yang berkaitan (tetapi tidak termasuk PPN yang dibayar dari kontrak )</v>
          </cell>
          <cell r="P170">
            <v>10</v>
          </cell>
          <cell r="Q170" t="str">
            <v>%  x  D</v>
          </cell>
          <cell r="U170">
            <v>61896.97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Berlanjut ke hal. berikut.</v>
          </cell>
          <cell r="L171" t="str">
            <v>F.</v>
          </cell>
          <cell r="N171" t="str">
            <v>dan biaya-biaya lainnya.</v>
          </cell>
          <cell r="U171">
            <v>680866.65999999992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  <cell r="T172" t="str">
            <v>Analisa EI-661</v>
          </cell>
        </row>
        <row r="173">
          <cell r="A173" t="str">
            <v>JENIS PEKERJAAN</v>
          </cell>
          <cell r="D173" t="str">
            <v>:  Lapis Perekat</v>
          </cell>
          <cell r="J173" t="str">
            <v>Analisa El-85</v>
          </cell>
          <cell r="L173" t="str">
            <v>Note: 1</v>
          </cell>
          <cell r="N173" t="str">
            <v>SATUAN dapat berdasarkan atas jam operasi untuk Tenaga Kerja dan Peralatan, volume dan/atau ukuran berat untuk bahan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LITER</v>
          </cell>
          <cell r="H174" t="str">
            <v xml:space="preserve">         URAIAN ANALISA HARGA SATUAN</v>
          </cell>
          <cell r="L174" t="str">
            <v>FORMULIR STANDAR UNTUK</v>
          </cell>
          <cell r="N174" t="str">
            <v>Kuantitas satuan adalah kuantitas setiap komponen untuk menyelesaikan satu satuan pekerjaan dari nomor mata pembayaran</v>
          </cell>
        </row>
        <row r="175">
          <cell r="A175" t="str">
            <v>SATUAN PEMBAYARAN</v>
          </cell>
          <cell r="C175" t="str">
            <v>- Maju</v>
          </cell>
          <cell r="D175" t="str">
            <v>:  M3</v>
          </cell>
          <cell r="G175" t="str">
            <v>Tb1</v>
          </cell>
          <cell r="H175" t="str">
            <v xml:space="preserve">         URAIAN ANALISA HARGA SATUAN</v>
          </cell>
          <cell r="I175" t="str">
            <v>menit</v>
          </cell>
          <cell r="J175" t="str">
            <v>Lanjutan</v>
          </cell>
          <cell r="L175" t="str">
            <v>PEREKAMAN ANALISA MASING-MASING HARGA SATUAN</v>
          </cell>
          <cell r="N175" t="str">
            <v>Biaya satuan untuk peralatan sudah termasuk bahan bakar, bahan habis dipakai dan operator.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>
            <v>4</v>
          </cell>
          <cell r="N176" t="str">
            <v>Biaya satuan sudah termasuk pengeluaran untuk seluruh pajak yang berkaitan (tetapi tidak termasuk PPN yang dibayar dari ontrak )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  <cell r="L177" t="str">
            <v>PROYEK</v>
          </cell>
          <cell r="O177" t="str">
            <v>:  Peningkatan Jalan dan Jembatan Wilayah Barat</v>
          </cell>
        </row>
        <row r="178">
          <cell r="A178" t="str">
            <v>No.</v>
          </cell>
          <cell r="C178" t="str">
            <v>U R A I A N</v>
          </cell>
          <cell r="D178" t="str">
            <v>:  8.1(2)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KETERANGAN</v>
          </cell>
          <cell r="L178" t="str">
            <v>No. PAKET KONTRAK</v>
          </cell>
          <cell r="O178" t="str">
            <v xml:space="preserve">: </v>
          </cell>
          <cell r="T178" t="str">
            <v>Analisa EI-8.21</v>
          </cell>
        </row>
        <row r="179">
          <cell r="A179" t="str">
            <v>JENIS PEKERJAAN</v>
          </cell>
          <cell r="D179" t="str">
            <v>:  Pondasi Agregat Kls. B Untuk Pek. Minor</v>
          </cell>
          <cell r="L179" t="str">
            <v>NAMA PAKET</v>
          </cell>
          <cell r="O179" t="str">
            <v>:  Pembangunan Jembatan Beton Tersebar di Wilayah Barat</v>
          </cell>
        </row>
        <row r="180">
          <cell r="A180" t="str">
            <v xml:space="preserve">   2.c.</v>
          </cell>
          <cell r="C180" t="str">
            <v>DUMP TRUCK</v>
          </cell>
          <cell r="D180" t="str">
            <v>:  M3</v>
          </cell>
          <cell r="E180" t="str">
            <v>V x Fa x 60</v>
          </cell>
          <cell r="G180" t="str">
            <v>(E08)</v>
          </cell>
          <cell r="H180" t="str">
            <v xml:space="preserve">         URAIAN ANALISA HARGA SATUAN</v>
          </cell>
          <cell r="I180" t="str">
            <v xml:space="preserve">M3 / Jam </v>
          </cell>
          <cell r="L180" t="str">
            <v>PROP / KAB / KODYA</v>
          </cell>
          <cell r="O180" t="str">
            <v>:  Lampung Timur</v>
          </cell>
        </row>
        <row r="181">
          <cell r="C181" t="str">
            <v>Sebagai alat pengangkut bahan di lokasi pekerjaan,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ITEM PEMBAYARAN NO.</v>
          </cell>
          <cell r="O181" t="str">
            <v>:  6.6.1</v>
          </cell>
        </row>
        <row r="182">
          <cell r="C182" t="str">
            <v>Dump Truck melayani alat Asphalt Sprayer.</v>
          </cell>
          <cell r="D182" t="str">
            <v>Fk x Ts2</v>
          </cell>
          <cell r="L182" t="str">
            <v>JENIS PEKERJAAN</v>
          </cell>
          <cell r="O182" t="str">
            <v>:  Lapis Pen. Macadam Permukaan</v>
          </cell>
        </row>
        <row r="183">
          <cell r="A183" t="str">
            <v>No.</v>
          </cell>
          <cell r="C183" t="str">
            <v>Kap. Prod. / jam =</v>
          </cell>
          <cell r="D183" t="str">
            <v>sama dengan Asphalt Sprayer</v>
          </cell>
          <cell r="G183" t="str">
            <v>Q3</v>
          </cell>
          <cell r="H183">
            <v>332</v>
          </cell>
          <cell r="I183" t="str">
            <v>liter</v>
          </cell>
          <cell r="J183" t="str">
            <v>KETERANGAN</v>
          </cell>
          <cell r="L183" t="str">
            <v>SATUAN PEMBAYARAN</v>
          </cell>
          <cell r="O183" t="str">
            <v>:  M3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  <cell r="L185" t="str">
            <v>No. PAKET KONTRAK</v>
          </cell>
          <cell r="O185" t="str">
            <v xml:space="preserve">: </v>
          </cell>
        </row>
        <row r="186">
          <cell r="A186" t="str">
            <v xml:space="preserve">   2.b.</v>
          </cell>
          <cell r="C186" t="str">
            <v>TREE WHEEL ROLLER</v>
          </cell>
          <cell r="G186" t="str">
            <v>(E16 )</v>
          </cell>
          <cell r="L186" t="str">
            <v>PEKERJAAN</v>
          </cell>
          <cell r="O186" t="str">
            <v>:  Pembangunan Jembatan Beton Tersebar di Wilayah Barat</v>
          </cell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A187" t="str">
            <v xml:space="preserve">   3.</v>
          </cell>
          <cell r="C187" t="str">
            <v>TENAGA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NO.</v>
          </cell>
          <cell r="N187" t="str">
            <v>KOMPONEN</v>
          </cell>
          <cell r="O187" t="str">
            <v>:  Lampung Timur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A188">
            <v>2</v>
          </cell>
          <cell r="C188" t="str">
            <v>Produksi menentukan : ASPHALT FINISHER</v>
          </cell>
          <cell r="D188" t="str">
            <v>=  2  buah</v>
          </cell>
          <cell r="G188" t="str">
            <v>Q4</v>
          </cell>
          <cell r="H188">
            <v>332</v>
          </cell>
          <cell r="I188" t="str">
            <v>liter</v>
          </cell>
          <cell r="L188" t="str">
            <v>ITEM PEMBAYARAN NO.</v>
          </cell>
          <cell r="O188" t="str">
            <v>:  8.2(1)</v>
          </cell>
          <cell r="R188" t="str">
            <v>(Rp.)</v>
          </cell>
          <cell r="S188" t="str">
            <v>(Rp.)</v>
          </cell>
        </row>
        <row r="189">
          <cell r="A189">
            <v>3</v>
          </cell>
          <cell r="C189" t="str">
            <v>Produksi Lapis Resap Pengikat / hari  =  Tk x Q4</v>
          </cell>
          <cell r="D189" t="str">
            <v>=  2  buah</v>
          </cell>
          <cell r="G189" t="str">
            <v>Qt</v>
          </cell>
          <cell r="H189">
            <v>2324</v>
          </cell>
          <cell r="I189" t="str">
            <v>liter</v>
          </cell>
          <cell r="L189" t="str">
            <v>JENIS PEKERJAAN</v>
          </cell>
          <cell r="O189" t="str">
            <v>:  Galian Utk.Bahu &amp; Pek. Lainnya ,Rutin</v>
          </cell>
        </row>
        <row r="190">
          <cell r="A190">
            <v>4</v>
          </cell>
          <cell r="C190" t="str">
            <v>Kebutuhan tenaga :</v>
          </cell>
          <cell r="G190" t="str">
            <v>Fa</v>
          </cell>
          <cell r="H190">
            <v>0.83</v>
          </cell>
          <cell r="I190" t="str">
            <v>-</v>
          </cell>
          <cell r="L190" t="str">
            <v>SATUAN PEMBAYARAN</v>
          </cell>
          <cell r="O190" t="str">
            <v>:  M3</v>
          </cell>
        </row>
        <row r="191">
          <cell r="A191">
            <v>5</v>
          </cell>
          <cell r="C191" t="str">
            <v>Tebal lapis agregat padat</v>
          </cell>
          <cell r="D191" t="str">
            <v>- Pekerja</v>
          </cell>
          <cell r="G191" t="str">
            <v>P</v>
          </cell>
          <cell r="H191">
            <v>10</v>
          </cell>
          <cell r="I191" t="str">
            <v>orang</v>
          </cell>
          <cell r="L191" t="str">
            <v>A.</v>
          </cell>
          <cell r="N191" t="str">
            <v>TENAGA</v>
          </cell>
        </row>
        <row r="192">
          <cell r="A192">
            <v>6</v>
          </cell>
          <cell r="C192" t="str">
            <v>Kap. Prod. / jam =</v>
          </cell>
          <cell r="D192" t="str">
            <v>- Mandor</v>
          </cell>
          <cell r="G192" t="str">
            <v>M</v>
          </cell>
          <cell r="H192">
            <v>1</v>
          </cell>
          <cell r="I192" t="str">
            <v>orang</v>
          </cell>
        </row>
        <row r="193">
          <cell r="A193">
            <v>7</v>
          </cell>
          <cell r="C193" t="str">
            <v>Jam kerja efektif per-hari</v>
          </cell>
          <cell r="D193" t="str">
            <v>n</v>
          </cell>
          <cell r="G193" t="str">
            <v>Tk</v>
          </cell>
          <cell r="H193">
            <v>7</v>
          </cell>
          <cell r="I193" t="str">
            <v>jam</v>
          </cell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>
            <v>4.5898000000000003</v>
          </cell>
          <cell r="R193">
            <v>2500</v>
          </cell>
          <cell r="S193" t="str">
            <v>JUMLAH</v>
          </cell>
          <cell r="U193">
            <v>11474.5</v>
          </cell>
        </row>
        <row r="194">
          <cell r="A194">
            <v>8</v>
          </cell>
          <cell r="C194" t="str">
            <v>Koefisien tenaga / liter   :</v>
          </cell>
          <cell r="D194" t="str">
            <v xml:space="preserve"> =  1  :  Q2</v>
          </cell>
          <cell r="G194" t="str">
            <v>(E16)</v>
          </cell>
          <cell r="H194">
            <v>2.6800000000000001E-2</v>
          </cell>
          <cell r="I194" t="str">
            <v>jam</v>
          </cell>
          <cell r="J194" t="str">
            <v xml:space="preserve"> Gradasi harus</v>
          </cell>
          <cell r="L194" t="str">
            <v>2.</v>
          </cell>
          <cell r="N194" t="str">
            <v>Mandor</v>
          </cell>
          <cell r="O194" t="str">
            <v>(L03)</v>
          </cell>
          <cell r="P194" t="str">
            <v>Jam</v>
          </cell>
          <cell r="Q194">
            <v>0.13769999999999999</v>
          </cell>
          <cell r="R194">
            <v>3571.43</v>
          </cell>
          <cell r="S194" t="str">
            <v>HARGA</v>
          </cell>
          <cell r="U194">
            <v>491.78591099999994</v>
          </cell>
        </row>
        <row r="195">
          <cell r="C195" t="str">
            <v>Kebutuhan tenaga :</v>
          </cell>
          <cell r="D195" t="str">
            <v>- Pekerja</v>
          </cell>
          <cell r="E195" t="str">
            <v>= (Tk x P) : Qt</v>
          </cell>
          <cell r="G195" t="str">
            <v>(L01)</v>
          </cell>
          <cell r="H195">
            <v>3.0099999999999998E-2</v>
          </cell>
          <cell r="I195" t="str">
            <v>Jam</v>
          </cell>
          <cell r="J195" t="str">
            <v xml:space="preserve"> memenuhi</v>
          </cell>
          <cell r="R195" t="str">
            <v>(Rp.)</v>
          </cell>
          <cell r="S195" t="str">
            <v>(Rp.)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Mandor</v>
          </cell>
          <cell r="E196" t="str">
            <v>= (Tk x M) : Qt</v>
          </cell>
          <cell r="G196" t="str">
            <v>(L03)</v>
          </cell>
          <cell r="H196">
            <v>3.0000000000000001E-3</v>
          </cell>
          <cell r="I196" t="str">
            <v>Jam</v>
          </cell>
          <cell r="J196" t="str">
            <v xml:space="preserve"> Lump Sum</v>
          </cell>
        </row>
        <row r="197">
          <cell r="A197" t="str">
            <v>II.</v>
          </cell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  <cell r="Q197" t="str">
            <v xml:space="preserve">JUMLAH HARGA TENAGA   </v>
          </cell>
          <cell r="U197">
            <v>11966.285910999999</v>
          </cell>
        </row>
        <row r="198">
          <cell r="A198" t="str">
            <v>4.</v>
          </cell>
          <cell r="C198" t="str">
            <v>HARGA DASAR SATUAN UPAH, BAHAN DAN ALAT</v>
          </cell>
          <cell r="D198" t="str">
            <v>=  2  buah.</v>
          </cell>
          <cell r="L198" t="str">
            <v>A.</v>
          </cell>
          <cell r="N198" t="str">
            <v>TENAGA</v>
          </cell>
        </row>
        <row r="199">
          <cell r="A199">
            <v>2</v>
          </cell>
          <cell r="C199" t="str">
            <v>Lihat lampiran.</v>
          </cell>
          <cell r="D199" t="str">
            <v>=  3  buah.</v>
          </cell>
          <cell r="L199" t="str">
            <v>B.</v>
          </cell>
          <cell r="N199" t="str">
            <v>BAHAN</v>
          </cell>
        </row>
        <row r="200">
          <cell r="C200" t="str">
            <v>- Garpu</v>
          </cell>
          <cell r="D200" t="str">
            <v>=  2  buah.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A201" t="str">
            <v>5.</v>
          </cell>
          <cell r="C201" t="str">
            <v>ANALISA HARGA SATUAN PEKERJAAN</v>
          </cell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L201" t="str">
            <v>1.</v>
          </cell>
          <cell r="N201" t="str">
            <v>Agregat Kasar</v>
          </cell>
          <cell r="O201" t="str">
            <v>(M03a)</v>
          </cell>
          <cell r="P201" t="str">
            <v>M3</v>
          </cell>
          <cell r="Q201">
            <v>1.2833000000000001</v>
          </cell>
          <cell r="R201">
            <v>120100</v>
          </cell>
          <cell r="U201">
            <v>154124.33000000002</v>
          </cell>
        </row>
        <row r="202">
          <cell r="A202" t="str">
            <v xml:space="preserve">   3.</v>
          </cell>
          <cell r="C202" t="str">
            <v>Lihat perhitungan dalam FORMULIR STANDAR UNTUK</v>
          </cell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A203">
            <v>4</v>
          </cell>
          <cell r="C203" t="str">
            <v>PEREKEMAN ANALISA MASING-MASING HARGA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C204" t="str">
            <v>SATUAN.</v>
          </cell>
          <cell r="G204" t="str">
            <v>Qt</v>
          </cell>
          <cell r="H204">
            <v>261.45</v>
          </cell>
          <cell r="I204" t="str">
            <v>M3</v>
          </cell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>
            <v>0.18440000000000001</v>
          </cell>
          <cell r="R204">
            <v>48500</v>
          </cell>
          <cell r="U204">
            <v>8943.4</v>
          </cell>
        </row>
        <row r="205">
          <cell r="C205" t="str">
            <v>Didapat Harga Satuan Pekerjaan :</v>
          </cell>
        </row>
        <row r="206">
          <cell r="A206" t="str">
            <v>III.</v>
          </cell>
          <cell r="C206" t="str">
            <v>PEMAKAIAN BAHAN, ALAT DAN TENAGA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B.</v>
          </cell>
          <cell r="N206" t="str">
            <v>BAHAN</v>
          </cell>
        </row>
        <row r="207">
          <cell r="A207" t="str">
            <v xml:space="preserve">   1.</v>
          </cell>
          <cell r="C207" t="str">
            <v xml:space="preserve">Rp.  </v>
          </cell>
          <cell r="D207">
            <v>4614.92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  <cell r="Q207" t="str">
            <v xml:space="preserve">JUMLAH HARGA BAHAN   </v>
          </cell>
          <cell r="U207">
            <v>580442.29</v>
          </cell>
        </row>
        <row r="208">
          <cell r="C208" t="str">
            <v>- Agregat Kasar</v>
          </cell>
          <cell r="D208" t="str">
            <v>=  Ak x 1 M3 x Fk</v>
          </cell>
          <cell r="G208" t="str">
            <v>M03</v>
          </cell>
          <cell r="H208">
            <v>0.48</v>
          </cell>
          <cell r="I208" t="str">
            <v>M3</v>
          </cell>
        </row>
        <row r="209">
          <cell r="C209" t="str">
            <v>Koefisien tenaga / M3   :</v>
          </cell>
          <cell r="D209" t="str">
            <v>=  Ah x 1 M3 x Fk</v>
          </cell>
          <cell r="G209" t="str">
            <v>M04</v>
          </cell>
          <cell r="H209">
            <v>0.36</v>
          </cell>
          <cell r="I209" t="str">
            <v>M3</v>
          </cell>
          <cell r="L209" t="str">
            <v>C.</v>
          </cell>
          <cell r="N209" t="str">
            <v>PERALATAN</v>
          </cell>
        </row>
        <row r="210">
          <cell r="C210" t="str">
            <v>- Sirtu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A211" t="str">
            <v xml:space="preserve">   2.</v>
          </cell>
          <cell r="C211" t="str">
            <v>ALAT</v>
          </cell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A212" t="str">
            <v xml:space="preserve">   2.a.</v>
          </cell>
          <cell r="C212" t="str">
            <v>WHEEL LOADER</v>
          </cell>
          <cell r="D212">
            <v>17731.59</v>
          </cell>
          <cell r="E212" t="str">
            <v xml:space="preserve"> / M3</v>
          </cell>
          <cell r="G212" t="str">
            <v>(E15)</v>
          </cell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A213" t="str">
            <v>4.</v>
          </cell>
          <cell r="C213" t="str">
            <v>HARGA DASAR SATUAN UPAH, BAHAN DAN ALAT</v>
          </cell>
          <cell r="G213" t="str">
            <v>V</v>
          </cell>
          <cell r="H213">
            <v>1.5</v>
          </cell>
          <cell r="I213" t="str">
            <v>M3</v>
          </cell>
          <cell r="L213" t="str">
            <v>3.</v>
          </cell>
          <cell r="N213" t="str">
            <v xml:space="preserve">Three Wheel Roller     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C214" t="str">
            <v>Lihat lampiran.</v>
          </cell>
          <cell r="G214" t="str">
            <v>Fb</v>
          </cell>
          <cell r="H214">
            <v>0.9</v>
          </cell>
          <cell r="I214" t="str">
            <v>-</v>
          </cell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>
            <v>0.31019999999999998</v>
          </cell>
          <cell r="R214">
            <v>24722.73</v>
          </cell>
          <cell r="U214">
            <v>7668.9908459999997</v>
          </cell>
        </row>
        <row r="215">
          <cell r="C215" t="str">
            <v>Faktor Efisiensi alat</v>
          </cell>
          <cell r="G215" t="str">
            <v>Fa</v>
          </cell>
          <cell r="H215">
            <v>0.83</v>
          </cell>
          <cell r="I215" t="str">
            <v>-</v>
          </cell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6">
          <cell r="A216" t="str">
            <v>5.</v>
          </cell>
          <cell r="C216" t="str">
            <v>ANALISA HARGA SATUAN PEKERJAAN</v>
          </cell>
          <cell r="G216" t="str">
            <v>Ts1</v>
          </cell>
          <cell r="L216" t="str">
            <v>C.</v>
          </cell>
          <cell r="N216" t="str">
            <v>PERALATAN</v>
          </cell>
        </row>
        <row r="217">
          <cell r="C217" t="str">
            <v>Lihat perhitungan dalam FORMULIR STANDAR UNTUK</v>
          </cell>
          <cell r="G217" t="str">
            <v>T1</v>
          </cell>
          <cell r="H217">
            <v>0.5</v>
          </cell>
          <cell r="I217" t="str">
            <v>menit</v>
          </cell>
        </row>
        <row r="218">
          <cell r="C218" t="str">
            <v>PEREKAMAN ANALISA MASING-MASING HARGA</v>
          </cell>
          <cell r="G218" t="str">
            <v>T2</v>
          </cell>
          <cell r="H218">
            <v>0.5</v>
          </cell>
          <cell r="I218" t="str">
            <v>menit</v>
          </cell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C219" t="str">
            <v>SATUAN.</v>
          </cell>
          <cell r="G219" t="str">
            <v>Ts1</v>
          </cell>
          <cell r="H219">
            <v>1</v>
          </cell>
          <cell r="I219" t="str">
            <v>menit</v>
          </cell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 t="str">
            <v xml:space="preserve">JUMLAH HARGA PERALATAN   </v>
          </cell>
          <cell r="R219">
            <v>82267.929999999993</v>
          </cell>
          <cell r="U219">
            <v>15752.913931671257</v>
          </cell>
        </row>
        <row r="220">
          <cell r="C220" t="str">
            <v>Kap. Prod. / jam =</v>
          </cell>
          <cell r="D220" t="str">
            <v>V x Fb x Fa x 60</v>
          </cell>
          <cell r="G220" t="str">
            <v>Q1</v>
          </cell>
          <cell r="H220">
            <v>56.024999999999999</v>
          </cell>
          <cell r="I220" t="str">
            <v>M3</v>
          </cell>
          <cell r="L220" t="str">
            <v>D.</v>
          </cell>
          <cell r="N220" t="str">
            <v>JUMLAH HARGA TENAGA, BAHAN DAN PERALATAN  ( A + B + C )</v>
          </cell>
          <cell r="P220" t="str">
            <v>Ls</v>
          </cell>
          <cell r="Q220">
            <v>1</v>
          </cell>
          <cell r="R220">
            <v>100</v>
          </cell>
          <cell r="U220">
            <v>608161.48984267132</v>
          </cell>
        </row>
        <row r="221">
          <cell r="A221" t="str">
            <v>ITEM PEMBAYARAN NO.</v>
          </cell>
          <cell r="C221" t="str">
            <v>Rp.</v>
          </cell>
          <cell r="D221">
            <v>162447.83999999997</v>
          </cell>
          <cell r="E221" t="str">
            <v xml:space="preserve"> / M3</v>
          </cell>
          <cell r="J221" t="str">
            <v>Analisa EI-315</v>
          </cell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A222" t="str">
            <v>JENIS PEKERJAAN</v>
          </cell>
          <cell r="C222" t="str">
            <v>Koefisien Alat / M3</v>
          </cell>
          <cell r="D222" t="str">
            <v xml:space="preserve"> =  1  :  Q1</v>
          </cell>
          <cell r="G222" t="str">
            <v>(E15)</v>
          </cell>
          <cell r="H222">
            <v>1.78E-2</v>
          </cell>
          <cell r="I222" t="str">
            <v>jam</v>
          </cell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4">
          <cell r="A224" t="str">
            <v xml:space="preserve">   2.b.</v>
          </cell>
          <cell r="C224" t="str">
            <v>DUMP TRUCK</v>
          </cell>
          <cell r="G224" t="str">
            <v>(E09)</v>
          </cell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C225" t="str">
            <v>Kapasitas bak</v>
          </cell>
          <cell r="G225" t="str">
            <v>V</v>
          </cell>
          <cell r="H225">
            <v>6</v>
          </cell>
          <cell r="I225" t="str">
            <v>M3</v>
          </cell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A226" t="str">
            <v>No.</v>
          </cell>
          <cell r="C226" t="str">
            <v>Faktor Efisiensi alat</v>
          </cell>
          <cell r="G226" t="str">
            <v>Fa</v>
          </cell>
          <cell r="H226">
            <v>0.83</v>
          </cell>
          <cell r="I226" t="str">
            <v>-</v>
          </cell>
          <cell r="J226" t="str">
            <v>KETERANGAN</v>
          </cell>
          <cell r="L226">
            <v>3</v>
          </cell>
          <cell r="N226" t="str">
            <v>Biaya satuan untuk peralatan sudah termasuk bahan bakar, bahan habis dipakai dan operator.</v>
          </cell>
          <cell r="Q226" t="str">
            <v xml:space="preserve">JUMLAH HARGA PERALATAN   </v>
          </cell>
          <cell r="U226">
            <v>15462.400000000001</v>
          </cell>
        </row>
        <row r="227">
          <cell r="C227" t="str">
            <v>Kecepatan rata-rata bermuatan</v>
          </cell>
          <cell r="G227" t="str">
            <v>v1</v>
          </cell>
          <cell r="H227">
            <v>40</v>
          </cell>
          <cell r="I227" t="str">
            <v>KM/jam</v>
          </cell>
          <cell r="L227">
            <v>4</v>
          </cell>
          <cell r="N227" t="str">
            <v>Biaya satuan sudah termasuk pengeluaran untuk seluruh pajak yang berkaitan (tetapi tidak termasuk PPN yang dibayar dari kontrak )</v>
          </cell>
          <cell r="U227">
            <v>15877.330000000002</v>
          </cell>
        </row>
        <row r="228">
          <cell r="C228" t="str">
            <v>Kecepatan rata-rata kosong</v>
          </cell>
          <cell r="G228" t="str">
            <v>v2</v>
          </cell>
          <cell r="H228">
            <v>60</v>
          </cell>
          <cell r="I228" t="str">
            <v>KM/jam</v>
          </cell>
          <cell r="L228" t="str">
            <v>E.</v>
          </cell>
          <cell r="N228" t="str">
            <v>dan biaya-biaya lainnya.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A229" t="str">
            <v>ITEM PEMBAYARAN NO.</v>
          </cell>
          <cell r="C229" t="str">
            <v>Waktu Siklus :</v>
          </cell>
          <cell r="D229" t="str">
            <v>:  6.3 (4)</v>
          </cell>
          <cell r="G229" t="str">
            <v>Ts2</v>
          </cell>
          <cell r="J229" t="str">
            <v>Analisa EI-634</v>
          </cell>
        </row>
        <row r="230">
          <cell r="A230" t="str">
            <v>JENIS PEKERJAAN</v>
          </cell>
          <cell r="C230" t="str">
            <v>- Waktu tempuh isi           =  (L : v1) x 60 menit</v>
          </cell>
          <cell r="D230" t="str">
            <v>:  Asphalt Treated Base (ATB)</v>
          </cell>
          <cell r="G230" t="str">
            <v>T1</v>
          </cell>
          <cell r="H230">
            <v>1.5</v>
          </cell>
          <cell r="I230" t="str">
            <v>menit</v>
          </cell>
        </row>
        <row r="231">
          <cell r="A231" t="str">
            <v>SATUAN PEMBAYARAN</v>
          </cell>
          <cell r="C231" t="str">
            <v>- Waktu tempuh kosong  =  (L : v2) x 60 menit</v>
          </cell>
          <cell r="D231" t="str">
            <v>:  M3</v>
          </cell>
          <cell r="G231" t="str">
            <v>T2</v>
          </cell>
          <cell r="H231" t="str">
            <v xml:space="preserve">         URAIAN ANALISA HARGA SATUAN</v>
          </cell>
          <cell r="I231" t="str">
            <v>menit</v>
          </cell>
        </row>
        <row r="232">
          <cell r="A232">
            <v>3</v>
          </cell>
          <cell r="C232" t="str">
            <v>- Lain-lain (termasuk dumping setempat-setempat)</v>
          </cell>
          <cell r="G232" t="str">
            <v>T3</v>
          </cell>
          <cell r="H232">
            <v>20</v>
          </cell>
          <cell r="I232" t="str">
            <v>menit</v>
          </cell>
        </row>
        <row r="233">
          <cell r="G233" t="str">
            <v>Ts2</v>
          </cell>
          <cell r="H233">
            <v>22.5</v>
          </cell>
          <cell r="I233" t="str">
            <v>menit</v>
          </cell>
        </row>
        <row r="234">
          <cell r="A234" t="str">
            <v>No.</v>
          </cell>
          <cell r="C234" t="str">
            <v>U R A I A N</v>
          </cell>
          <cell r="G234" t="str">
            <v>KODE</v>
          </cell>
          <cell r="H234" t="str">
            <v>KOEF.</v>
          </cell>
          <cell r="I234" t="str">
            <v>SATUAN</v>
          </cell>
          <cell r="J234" t="str">
            <v>KETERANGAN</v>
          </cell>
        </row>
        <row r="235">
          <cell r="J235" t="str">
            <v>Berlanjut ke halaman berikut</v>
          </cell>
        </row>
        <row r="236">
          <cell r="A236" t="str">
            <v>ITEM PEMBAYARAN NO.</v>
          </cell>
          <cell r="D236" t="str">
            <v>:  8.1(2)</v>
          </cell>
          <cell r="J236" t="str">
            <v>Analisa EI-812</v>
          </cell>
        </row>
        <row r="237">
          <cell r="A237" t="str">
            <v>I.</v>
          </cell>
          <cell r="C237" t="str">
            <v>ASUMSI</v>
          </cell>
          <cell r="D237" t="str">
            <v>:  Pondasi Agregat Kls. B Untuk Pek. Minor</v>
          </cell>
        </row>
        <row r="238">
          <cell r="A238">
            <v>1</v>
          </cell>
          <cell r="C238" t="str">
            <v>Menggunakan alat berat (cara mekanik)</v>
          </cell>
          <cell r="D238" t="str">
            <v>:  M3</v>
          </cell>
          <cell r="H238" t="str">
            <v xml:space="preserve">         URAIAN ANALISA HARGA SATUAN</v>
          </cell>
        </row>
        <row r="239">
          <cell r="A239">
            <v>2</v>
          </cell>
          <cell r="C239" t="str">
            <v>Lokasi pekerjaan : sepanjang jalan</v>
          </cell>
          <cell r="J239" t="str">
            <v>Lanjutan</v>
          </cell>
        </row>
        <row r="240">
          <cell r="A240">
            <v>3</v>
          </cell>
          <cell r="C240" t="str">
            <v>Kondisi existing jalan : sedang</v>
          </cell>
        </row>
        <row r="241">
          <cell r="A241">
            <v>4</v>
          </cell>
          <cell r="C241" t="str">
            <v>Jarak rata-rata Base Camp ke lokasi pekerjaan</v>
          </cell>
          <cell r="G241" t="str">
            <v>L</v>
          </cell>
          <cell r="H241">
            <v>1</v>
          </cell>
          <cell r="I241" t="str">
            <v>KM</v>
          </cell>
          <cell r="J241" t="str">
            <v>KETERANGAN</v>
          </cell>
        </row>
        <row r="242">
          <cell r="A242">
            <v>5</v>
          </cell>
          <cell r="C242" t="str">
            <v>Tebal Lapis (ATB) padat</v>
          </cell>
          <cell r="G242" t="str">
            <v>t</v>
          </cell>
          <cell r="H242">
            <v>0.05</v>
          </cell>
          <cell r="I242" t="str">
            <v>M</v>
          </cell>
        </row>
        <row r="243">
          <cell r="A243">
            <v>6</v>
          </cell>
          <cell r="C243" t="str">
            <v>Jam kerja efektif per-hari</v>
          </cell>
          <cell r="G243" t="str">
            <v>Tk</v>
          </cell>
          <cell r="H243">
            <v>7</v>
          </cell>
          <cell r="I243" t="str">
            <v>Jam</v>
          </cell>
        </row>
        <row r="244">
          <cell r="A244">
            <v>7</v>
          </cell>
          <cell r="C244" t="str">
            <v>Faktor kehilanganmaterial :</v>
          </cell>
          <cell r="D244" t="str">
            <v>V x Fa x 60</v>
          </cell>
          <cell r="E244" t="str">
            <v>- Agregat</v>
          </cell>
          <cell r="G244" t="str">
            <v>Fh1</v>
          </cell>
          <cell r="H244">
            <v>1.1000000000000001</v>
          </cell>
          <cell r="I244" t="str">
            <v>-</v>
          </cell>
        </row>
        <row r="245">
          <cell r="A245" t="str">
            <v/>
          </cell>
          <cell r="D245" t="str">
            <v>Fk x Ts2</v>
          </cell>
          <cell r="E245" t="str">
            <v>- Aspal</v>
          </cell>
          <cell r="G245" t="str">
            <v>Fh2</v>
          </cell>
          <cell r="H245">
            <v>1.05</v>
          </cell>
          <cell r="I245" t="str">
            <v>-</v>
          </cell>
        </row>
        <row r="246">
          <cell r="A246">
            <v>8</v>
          </cell>
          <cell r="C246" t="str">
            <v>Komposisi campuran ATB  :</v>
          </cell>
          <cell r="D246" t="str">
            <v xml:space="preserve"> =  1  :  Q2</v>
          </cell>
          <cell r="G246" t="str">
            <v>(E09)</v>
          </cell>
          <cell r="H246">
            <v>9.0399999999999994E-2</v>
          </cell>
          <cell r="I246" t="str">
            <v>jam</v>
          </cell>
        </row>
        <row r="247">
          <cell r="C247" t="str">
            <v xml:space="preserve">- Coarse Agregat  </v>
          </cell>
          <cell r="G247" t="str">
            <v>CA</v>
          </cell>
          <cell r="H247">
            <v>55</v>
          </cell>
          <cell r="I247" t="str">
            <v>%</v>
          </cell>
          <cell r="J247" t="str">
            <v xml:space="preserve"> Gradasi harus -</v>
          </cell>
        </row>
        <row r="248">
          <cell r="A248" t="str">
            <v xml:space="preserve">   2.c.</v>
          </cell>
          <cell r="C248" t="str">
            <v>- Fine Agregat</v>
          </cell>
          <cell r="G248" t="str">
            <v>FA</v>
          </cell>
          <cell r="H248">
            <v>33.5</v>
          </cell>
          <cell r="I248" t="str">
            <v>%</v>
          </cell>
          <cell r="J248" t="str">
            <v xml:space="preserve"> memenuhi -</v>
          </cell>
        </row>
        <row r="249">
          <cell r="C249" t="str">
            <v>- Fraksi Filler</v>
          </cell>
          <cell r="G249" t="str">
            <v>FF</v>
          </cell>
          <cell r="H249">
            <v>5</v>
          </cell>
          <cell r="I249" t="str">
            <v>%</v>
          </cell>
          <cell r="J249" t="str">
            <v xml:space="preserve"> Spesifikasi</v>
          </cell>
        </row>
        <row r="250">
          <cell r="C250" t="str">
            <v>- Asphalt</v>
          </cell>
          <cell r="D250" t="str">
            <v>minimum 6 %</v>
          </cell>
          <cell r="G250" t="str">
            <v>As</v>
          </cell>
          <cell r="H250">
            <v>6.5</v>
          </cell>
          <cell r="I250" t="str">
            <v>%</v>
          </cell>
        </row>
        <row r="251">
          <cell r="A251">
            <v>9</v>
          </cell>
          <cell r="C251" t="str">
            <v>Berat jenis bahan  :</v>
          </cell>
          <cell r="G251" t="str">
            <v>n</v>
          </cell>
          <cell r="H251">
            <v>12</v>
          </cell>
          <cell r="I251" t="str">
            <v>lintasan</v>
          </cell>
        </row>
        <row r="252">
          <cell r="C252" t="str">
            <v>- ATB</v>
          </cell>
          <cell r="G252" t="str">
            <v>D1</v>
          </cell>
          <cell r="H252">
            <v>2.2999999999999998</v>
          </cell>
          <cell r="I252" t="str">
            <v>ton / M3</v>
          </cell>
        </row>
        <row r="253">
          <cell r="C253" t="str">
            <v>- Coarse Agregat &amp; Fine Agregat</v>
          </cell>
          <cell r="G253" t="str">
            <v>D2</v>
          </cell>
          <cell r="H253">
            <v>1.8</v>
          </cell>
          <cell r="I253" t="str">
            <v>ton / M3</v>
          </cell>
        </row>
        <row r="254">
          <cell r="C254" t="str">
            <v>- Fraksi Filler</v>
          </cell>
          <cell r="D254" t="str">
            <v>(v x 1000) x b x t x Fa</v>
          </cell>
          <cell r="G254" t="str">
            <v>D3</v>
          </cell>
          <cell r="H254">
            <v>2</v>
          </cell>
          <cell r="I254" t="str">
            <v>ton / M3</v>
          </cell>
        </row>
        <row r="255">
          <cell r="C255" t="str">
            <v>- Asphalt</v>
          </cell>
          <cell r="D255" t="str">
            <v>n</v>
          </cell>
          <cell r="G255" t="str">
            <v>D4</v>
          </cell>
          <cell r="H255">
            <v>1.03</v>
          </cell>
          <cell r="I255" t="str">
            <v>ton / M3</v>
          </cell>
        </row>
        <row r="256">
          <cell r="C256" t="str">
            <v>Koefisien Alat / M3</v>
          </cell>
          <cell r="D256" t="str">
            <v xml:space="preserve"> =  1  :  Q3</v>
          </cell>
          <cell r="G256" t="str">
            <v>(E24)</v>
          </cell>
          <cell r="H256">
            <v>3.61E-2</v>
          </cell>
          <cell r="I256" t="str">
            <v>jam</v>
          </cell>
        </row>
        <row r="257">
          <cell r="A257" t="str">
            <v>II.</v>
          </cell>
          <cell r="C257" t="str">
            <v>URUTAN KERJA</v>
          </cell>
        </row>
        <row r="258">
          <cell r="A258">
            <v>1</v>
          </cell>
          <cell r="C258" t="str">
            <v>W. Loader memuat Agregat dan Asphalt ke dalam cold bin AMP</v>
          </cell>
          <cell r="G258" t="str">
            <v>(E23)</v>
          </cell>
        </row>
        <row r="259">
          <cell r="A259">
            <v>2</v>
          </cell>
          <cell r="C259" t="str">
            <v>Agr.dan aspal dicampur dan dipanaskan dengan AMP untuk</v>
          </cell>
          <cell r="G259" t="str">
            <v>V</v>
          </cell>
          <cell r="H259">
            <v>4</v>
          </cell>
          <cell r="I259" t="str">
            <v>M3</v>
          </cell>
        </row>
        <row r="260">
          <cell r="C260" t="str">
            <v>dimuat langsung ke dalam dump truck dan diangkut ke lokasi</v>
          </cell>
          <cell r="G260" t="str">
            <v>Wc</v>
          </cell>
          <cell r="H260">
            <v>7.0000000000000007E-2</v>
          </cell>
          <cell r="I260" t="str">
            <v>M3</v>
          </cell>
        </row>
        <row r="261">
          <cell r="A261" t="str">
            <v/>
          </cell>
          <cell r="C261" t="str">
            <v>pekerjaan</v>
          </cell>
          <cell r="G261" t="str">
            <v>n</v>
          </cell>
          <cell r="H261">
            <v>1</v>
          </cell>
          <cell r="I261" t="str">
            <v>kali</v>
          </cell>
        </row>
        <row r="262">
          <cell r="A262">
            <v>3</v>
          </cell>
          <cell r="C262" t="str">
            <v>Campuran panas ATB dihampar dengan Finisher</v>
          </cell>
          <cell r="G262" t="str">
            <v>Fa</v>
          </cell>
          <cell r="H262">
            <v>0.83</v>
          </cell>
          <cell r="I262" t="str">
            <v>-</v>
          </cell>
        </row>
        <row r="263">
          <cell r="C263" t="str">
            <v>dan dipadatkan dengan Tandem (Awal &amp; Akhir) dan</v>
          </cell>
        </row>
        <row r="264">
          <cell r="A264" t="str">
            <v/>
          </cell>
          <cell r="C264" t="str">
            <v>Pneumatic Tire Roller (Intermediate Rolling)</v>
          </cell>
          <cell r="D264" t="str">
            <v>V x n x Fa</v>
          </cell>
          <cell r="G264" t="str">
            <v>Q4</v>
          </cell>
          <cell r="H264">
            <v>47.428600000000003</v>
          </cell>
          <cell r="I264" t="str">
            <v>M3</v>
          </cell>
        </row>
        <row r="265">
          <cell r="A265">
            <v>4</v>
          </cell>
          <cell r="C265" t="str">
            <v>Selama pemadatan, sekelompok  pekerja akan merapikan tepi</v>
          </cell>
          <cell r="D265" t="str">
            <v>Wc</v>
          </cell>
        </row>
        <row r="266">
          <cell r="A266" t="str">
            <v/>
          </cell>
          <cell r="C266" t="str">
            <v>hamparan dengan menggunakan alat bantu</v>
          </cell>
          <cell r="D266" t="str">
            <v xml:space="preserve"> =  1  :  Q4</v>
          </cell>
          <cell r="G266" t="str">
            <v>(E23)</v>
          </cell>
          <cell r="H266">
            <v>2.1100000000000001E-2</v>
          </cell>
          <cell r="I266" t="str">
            <v>jam</v>
          </cell>
        </row>
        <row r="267">
          <cell r="A267" t="str">
            <v/>
          </cell>
        </row>
        <row r="268">
          <cell r="A268" t="str">
            <v>III.</v>
          </cell>
          <cell r="C268" t="str">
            <v>PEMAKAIAN BAHAN, ALAT DAN TENAGA</v>
          </cell>
          <cell r="J268" t="str">
            <v xml:space="preserve"> Lump Sum</v>
          </cell>
        </row>
        <row r="269">
          <cell r="A269" t="str">
            <v xml:space="preserve">   1.</v>
          </cell>
          <cell r="C269" t="str">
            <v>BAHAN</v>
          </cell>
        </row>
        <row r="270">
          <cell r="A270" t="str">
            <v>1.a.</v>
          </cell>
          <cell r="C270" t="str">
            <v>Agregat Kasar</v>
          </cell>
          <cell r="D270" t="str">
            <v>= (CA x (D1 x 1 M3) x Fh1) : D2</v>
          </cell>
          <cell r="G270" t="str">
            <v>(M03a)</v>
          </cell>
          <cell r="H270">
            <v>0.77310000000000001</v>
          </cell>
          <cell r="I270" t="str">
            <v>M3</v>
          </cell>
        </row>
        <row r="271">
          <cell r="A271" t="str">
            <v>1.b.</v>
          </cell>
          <cell r="C271" t="str">
            <v>Agregat Halus</v>
          </cell>
          <cell r="D271" t="str">
            <v>= (FA x (D1 x 1 M3) x Fh1) : D2</v>
          </cell>
          <cell r="G271" t="str">
            <v>(M04a)</v>
          </cell>
          <cell r="H271">
            <v>0.47089999999999999</v>
          </cell>
          <cell r="I271" t="str">
            <v>M3</v>
          </cell>
        </row>
        <row r="272">
          <cell r="A272" t="str">
            <v>1.c.</v>
          </cell>
          <cell r="C272" t="str">
            <v>Filler</v>
          </cell>
          <cell r="D272" t="str">
            <v>= (FF x (D1 x 1 M3) x Fh1)</v>
          </cell>
          <cell r="G272" t="str">
            <v>(M05)</v>
          </cell>
          <cell r="H272">
            <v>126.5</v>
          </cell>
          <cell r="I272" t="str">
            <v>Kg</v>
          </cell>
        </row>
        <row r="273">
          <cell r="A273" t="str">
            <v>1.d.</v>
          </cell>
          <cell r="C273" t="str">
            <v>Aspal</v>
          </cell>
          <cell r="D273" t="str">
            <v xml:space="preserve">= (AS x (D1 x 1 M3) x Fh2) </v>
          </cell>
          <cell r="G273" t="str">
            <v>(M10)</v>
          </cell>
          <cell r="H273">
            <v>156.97499999999999</v>
          </cell>
          <cell r="I273" t="str">
            <v>Kg</v>
          </cell>
        </row>
        <row r="275">
          <cell r="A275" t="str">
            <v>2.</v>
          </cell>
          <cell r="C275" t="str">
            <v>ALAT</v>
          </cell>
        </row>
        <row r="276">
          <cell r="A276" t="str">
            <v>2.a.</v>
          </cell>
          <cell r="C276" t="str">
            <v>WHEEL LOADER</v>
          </cell>
          <cell r="G276" t="str">
            <v>(E15)</v>
          </cell>
          <cell r="H276">
            <v>56.024999999999999</v>
          </cell>
          <cell r="I276" t="str">
            <v>M3/jam</v>
          </cell>
        </row>
        <row r="277">
          <cell r="C277" t="str">
            <v>Kapasitas bucket</v>
          </cell>
          <cell r="G277" t="str">
            <v>V</v>
          </cell>
          <cell r="H277">
            <v>1.5</v>
          </cell>
          <cell r="I277" t="str">
            <v>M3</v>
          </cell>
        </row>
        <row r="278">
          <cell r="C278" t="str">
            <v>Faktor bucket</v>
          </cell>
          <cell r="G278" t="str">
            <v>Fb</v>
          </cell>
          <cell r="H278">
            <v>0.9</v>
          </cell>
          <cell r="I278" t="str">
            <v>-</v>
          </cell>
        </row>
        <row r="279">
          <cell r="C279" t="str">
            <v>Faktor efisiensi alat</v>
          </cell>
          <cell r="D279" t="str">
            <v>- Pekerja</v>
          </cell>
          <cell r="G279" t="str">
            <v>Fa</v>
          </cell>
          <cell r="H279">
            <v>0.83</v>
          </cell>
          <cell r="I279" t="str">
            <v>-</v>
          </cell>
        </row>
        <row r="280">
          <cell r="C280" t="str">
            <v>Waktu Siklus</v>
          </cell>
          <cell r="D280" t="str">
            <v>- Mandor</v>
          </cell>
          <cell r="G280" t="str">
            <v>Ts1</v>
          </cell>
          <cell r="H280">
            <v>1</v>
          </cell>
          <cell r="I280" t="str">
            <v>orang</v>
          </cell>
        </row>
        <row r="281">
          <cell r="C281" t="str">
            <v>- Muat</v>
          </cell>
          <cell r="G281" t="str">
            <v>T1</v>
          </cell>
          <cell r="H281">
            <v>1.5</v>
          </cell>
          <cell r="I281" t="str">
            <v>menit</v>
          </cell>
        </row>
        <row r="282">
          <cell r="C282" t="str">
            <v>- Lain lain</v>
          </cell>
          <cell r="G282" t="str">
            <v>T2</v>
          </cell>
          <cell r="H282">
            <v>0.5</v>
          </cell>
          <cell r="I282" t="str">
            <v>menit</v>
          </cell>
        </row>
        <row r="283">
          <cell r="D283" t="str">
            <v>- Pekerja</v>
          </cell>
          <cell r="E283" t="str">
            <v>= (Tk x P) : Qt</v>
          </cell>
          <cell r="G283" t="str">
            <v>Ts1</v>
          </cell>
          <cell r="H283">
            <v>2</v>
          </cell>
          <cell r="I283" t="str">
            <v>menit</v>
          </cell>
        </row>
        <row r="284">
          <cell r="D284" t="str">
            <v>- Mandor</v>
          </cell>
          <cell r="E284" t="str">
            <v>= (Tk x M) : Qt</v>
          </cell>
          <cell r="G284" t="str">
            <v>(L03)</v>
          </cell>
          <cell r="H284">
            <v>1.78E-2</v>
          </cell>
          <cell r="I284" t="str">
            <v>jam</v>
          </cell>
        </row>
        <row r="285">
          <cell r="J285" t="str">
            <v>Berlanjut ke hal. berikut.</v>
          </cell>
        </row>
        <row r="286">
          <cell r="A286" t="str">
            <v>ITEM PEMBAYARAN NO.</v>
          </cell>
          <cell r="D286" t="str">
            <v>:  6.3 (4)</v>
          </cell>
          <cell r="J286" t="str">
            <v>Analisa EI-634</v>
          </cell>
        </row>
        <row r="287">
          <cell r="A287" t="str">
            <v xml:space="preserve">JENIS PEKERJAAN                                  </v>
          </cell>
          <cell r="D287" t="str">
            <v>:  Asphalt Treated Base (ATB)</v>
          </cell>
        </row>
        <row r="288">
          <cell r="A288" t="str">
            <v>SATUAN PEMBAYARAN</v>
          </cell>
          <cell r="D288" t="str">
            <v>:  M3</v>
          </cell>
          <cell r="H288" t="str">
            <v xml:space="preserve">         URAIAN ANALISA HARGA SATUAN</v>
          </cell>
        </row>
        <row r="289">
          <cell r="J289" t="str">
            <v>Lanjutan</v>
          </cell>
        </row>
        <row r="291">
          <cell r="A291" t="str">
            <v>No.</v>
          </cell>
          <cell r="C291" t="str">
            <v>U R A I A N</v>
          </cell>
          <cell r="G291" t="str">
            <v>KODE</v>
          </cell>
          <cell r="H291" t="str">
            <v>KOEF.</v>
          </cell>
          <cell r="I291" t="str">
            <v>SATUAN</v>
          </cell>
          <cell r="J291" t="str">
            <v>KETERANGAN</v>
          </cell>
        </row>
        <row r="293">
          <cell r="J293" t="str">
            <v>Berlanjut ke halaman berikut</v>
          </cell>
        </row>
        <row r="294">
          <cell r="A294" t="str">
            <v>ITEM PEMBAYARAN NO.</v>
          </cell>
          <cell r="C294" t="str">
            <v xml:space="preserve">Kap. Prod./jam = </v>
          </cell>
          <cell r="D294" t="str">
            <v>D2 x V x Fb x Fa x 60</v>
          </cell>
          <cell r="G294" t="str">
            <v>Q1</v>
          </cell>
          <cell r="H294">
            <v>26.307400000000001</v>
          </cell>
          <cell r="I294" t="str">
            <v>M3</v>
          </cell>
          <cell r="J294" t="str">
            <v/>
          </cell>
        </row>
        <row r="295">
          <cell r="A295" t="str">
            <v>JENIS PEKERJAAN</v>
          </cell>
          <cell r="D295" t="str">
            <v>D1 x Ts1</v>
          </cell>
        </row>
        <row r="296">
          <cell r="A296" t="str">
            <v>SATUAN PEMBAYARAN</v>
          </cell>
          <cell r="D296" t="str">
            <v>:  M3</v>
          </cell>
          <cell r="H296" t="str">
            <v xml:space="preserve">         URAIAN ANALISA HARGA SATUAN</v>
          </cell>
        </row>
        <row r="297">
          <cell r="C297" t="str">
            <v>Koefisien Alat / M3</v>
          </cell>
          <cell r="D297" t="str">
            <v xml:space="preserve"> = 1 : Q1</v>
          </cell>
          <cell r="G297" t="str">
            <v>(E15)</v>
          </cell>
          <cell r="H297">
            <v>3.7999999999999999E-2</v>
          </cell>
          <cell r="I297" t="str">
            <v>Jam</v>
          </cell>
          <cell r="J297" t="str">
            <v>Lanjutan</v>
          </cell>
        </row>
        <row r="299">
          <cell r="A299" t="str">
            <v>2.b.</v>
          </cell>
          <cell r="C299" t="str">
            <v>ASPHALT MIXING PLANT (AMP)</v>
          </cell>
          <cell r="G299" t="str">
            <v>(E01)</v>
          </cell>
          <cell r="H299" t="str">
            <v>KOEF.</v>
          </cell>
          <cell r="I299" t="str">
            <v>SATUAN</v>
          </cell>
          <cell r="J299" t="str">
            <v>KETERANGAN</v>
          </cell>
        </row>
        <row r="300">
          <cell r="C300" t="str">
            <v>Kapasitas produksi</v>
          </cell>
          <cell r="G300" t="str">
            <v>V</v>
          </cell>
          <cell r="H300">
            <v>30</v>
          </cell>
          <cell r="I300" t="str">
            <v>ton / Jam</v>
          </cell>
        </row>
        <row r="301">
          <cell r="C301" t="str">
            <v>Faktor Efisiensi alat</v>
          </cell>
          <cell r="G301" t="str">
            <v>Fa</v>
          </cell>
          <cell r="H301">
            <v>0.83</v>
          </cell>
          <cell r="I301" t="str">
            <v>-</v>
          </cell>
        </row>
        <row r="302">
          <cell r="A302" t="str">
            <v>4.</v>
          </cell>
          <cell r="C302" t="str">
            <v>HARGA DASAR SATUAN UPAH, BAHAN DAN ALAT</v>
          </cell>
        </row>
        <row r="303">
          <cell r="C303" t="str">
            <v>Kap.Prod. / jam =</v>
          </cell>
          <cell r="D303" t="str">
            <v>V x Fa</v>
          </cell>
          <cell r="G303" t="str">
            <v>Q2</v>
          </cell>
          <cell r="H303">
            <v>10.8261</v>
          </cell>
          <cell r="I303" t="str">
            <v>M3</v>
          </cell>
        </row>
        <row r="304">
          <cell r="D304" t="str">
            <v xml:space="preserve">D1 </v>
          </cell>
        </row>
        <row r="305">
          <cell r="A305" t="str">
            <v>5.</v>
          </cell>
          <cell r="C305" t="str">
            <v>Koefisien Alat / M3</v>
          </cell>
          <cell r="D305" t="str">
            <v xml:space="preserve"> = 1 : Q2</v>
          </cell>
          <cell r="G305" t="str">
            <v>(E01)</v>
          </cell>
          <cell r="H305">
            <v>9.2399999999999996E-2</v>
          </cell>
          <cell r="I305" t="str">
            <v>Jam</v>
          </cell>
        </row>
        <row r="306">
          <cell r="C306" t="str">
            <v>Lihat perhitungan dalam FORMULIR STANDAR UNTUK</v>
          </cell>
        </row>
        <row r="307">
          <cell r="A307" t="str">
            <v>2.c.</v>
          </cell>
          <cell r="C307" t="str">
            <v>GENERATORSET ( GENSET )</v>
          </cell>
          <cell r="G307" t="str">
            <v>(E12)</v>
          </cell>
        </row>
        <row r="308">
          <cell r="C308" t="str">
            <v>Kap.Prod. / Jam = SAMA DENGAN AMP</v>
          </cell>
          <cell r="G308" t="str">
            <v>Q3</v>
          </cell>
          <cell r="H308">
            <v>10.8261</v>
          </cell>
          <cell r="I308" t="str">
            <v>M3</v>
          </cell>
        </row>
        <row r="309">
          <cell r="C309" t="str">
            <v>Koefisien Alat / M3</v>
          </cell>
          <cell r="D309" t="str">
            <v xml:space="preserve"> = 1 : Q3</v>
          </cell>
          <cell r="G309" t="str">
            <v>(E12)</v>
          </cell>
          <cell r="H309">
            <v>9.2399999999999996E-2</v>
          </cell>
          <cell r="I309" t="str">
            <v>Jam</v>
          </cell>
        </row>
        <row r="311">
          <cell r="A311" t="str">
            <v>2.d.</v>
          </cell>
          <cell r="C311" t="str">
            <v>DUMP TRUCK (DT)</v>
          </cell>
          <cell r="D311">
            <v>20641.289999999997</v>
          </cell>
          <cell r="E311" t="str">
            <v xml:space="preserve"> / M3.</v>
          </cell>
          <cell r="G311" t="str">
            <v>(E09)</v>
          </cell>
        </row>
        <row r="312">
          <cell r="C312" t="str">
            <v>Kapasitas bak</v>
          </cell>
          <cell r="G312" t="str">
            <v>V</v>
          </cell>
          <cell r="H312">
            <v>8</v>
          </cell>
          <cell r="I312" t="str">
            <v>ton</v>
          </cell>
        </row>
        <row r="313">
          <cell r="C313" t="str">
            <v>Faktor Efisiensi alat</v>
          </cell>
          <cell r="G313" t="str">
            <v>Fa</v>
          </cell>
          <cell r="H313">
            <v>0.83</v>
          </cell>
          <cell r="I313" t="str">
            <v>-</v>
          </cell>
        </row>
        <row r="314">
          <cell r="C314" t="str">
            <v>Kecepatan rata-rata bermuatan</v>
          </cell>
          <cell r="G314" t="str">
            <v>v1</v>
          </cell>
          <cell r="H314">
            <v>40</v>
          </cell>
          <cell r="I314" t="str">
            <v>Km / Jam</v>
          </cell>
        </row>
        <row r="315">
          <cell r="C315" t="str">
            <v>Kecepatan rata-rata kosong</v>
          </cell>
          <cell r="G315" t="str">
            <v>v2</v>
          </cell>
          <cell r="H315">
            <v>50</v>
          </cell>
          <cell r="I315" t="str">
            <v>Km / Jam</v>
          </cell>
        </row>
        <row r="316">
          <cell r="C316" t="str">
            <v>Kapasitas AMP / batch</v>
          </cell>
          <cell r="G316" t="str">
            <v>Q2b</v>
          </cell>
          <cell r="H316">
            <v>0.5</v>
          </cell>
          <cell r="I316" t="str">
            <v>ton</v>
          </cell>
        </row>
        <row r="317">
          <cell r="C317" t="str">
            <v>Waktu menyiapkan 1 batch ATB</v>
          </cell>
          <cell r="G317" t="str">
            <v>Tb</v>
          </cell>
          <cell r="H317">
            <v>1</v>
          </cell>
          <cell r="I317" t="str">
            <v>menit</v>
          </cell>
        </row>
        <row r="318">
          <cell r="C318" t="str">
            <v>Waktu Siklus</v>
          </cell>
          <cell r="G318" t="str">
            <v>Ts2</v>
          </cell>
        </row>
        <row r="319">
          <cell r="C319" t="str">
            <v xml:space="preserve">- Mengisi Bak </v>
          </cell>
          <cell r="D319" t="str">
            <v>= (V : Q2b) x Tb</v>
          </cell>
          <cell r="G319" t="str">
            <v>T1</v>
          </cell>
          <cell r="H319">
            <v>16</v>
          </cell>
          <cell r="I319" t="str">
            <v>menit</v>
          </cell>
        </row>
        <row r="320">
          <cell r="C320" t="str">
            <v>- Angkut</v>
          </cell>
          <cell r="D320" t="str">
            <v>= (L : v1) x 60 menit</v>
          </cell>
          <cell r="G320" t="str">
            <v>T2</v>
          </cell>
          <cell r="H320">
            <v>1.5</v>
          </cell>
          <cell r="I320" t="str">
            <v>menit</v>
          </cell>
        </row>
        <row r="321">
          <cell r="C321" t="str">
            <v>- Tunggu + dump + Putar</v>
          </cell>
          <cell r="G321" t="str">
            <v>T3</v>
          </cell>
          <cell r="H321">
            <v>15</v>
          </cell>
          <cell r="I321" t="str">
            <v>menit</v>
          </cell>
        </row>
        <row r="322">
          <cell r="C322" t="str">
            <v>- Kembali</v>
          </cell>
          <cell r="D322" t="str">
            <v>= (L : v2) x 60 menit</v>
          </cell>
          <cell r="G322" t="str">
            <v>T4</v>
          </cell>
          <cell r="H322">
            <v>1.2</v>
          </cell>
          <cell r="I322" t="str">
            <v>menit</v>
          </cell>
        </row>
        <row r="323">
          <cell r="G323" t="str">
            <v>Ts2</v>
          </cell>
          <cell r="H323">
            <v>33.700000000000003</v>
          </cell>
          <cell r="I323" t="str">
            <v>menit</v>
          </cell>
        </row>
        <row r="325">
          <cell r="C325" t="str">
            <v>Kap.Prod. / jam =</v>
          </cell>
          <cell r="D325" t="str">
            <v>V x Fa x 60</v>
          </cell>
          <cell r="G325" t="str">
            <v>Q4</v>
          </cell>
          <cell r="H325">
            <v>5.14</v>
          </cell>
          <cell r="I325" t="str">
            <v>M3</v>
          </cell>
        </row>
        <row r="326">
          <cell r="D326" t="str">
            <v>D1 x Ts2</v>
          </cell>
        </row>
        <row r="327">
          <cell r="C327" t="str">
            <v>Koefisien Alat / M3</v>
          </cell>
          <cell r="D327" t="str">
            <v xml:space="preserve"> = 1 : Q4</v>
          </cell>
          <cell r="G327" t="str">
            <v>(E09)</v>
          </cell>
          <cell r="H327">
            <v>0.1946</v>
          </cell>
          <cell r="I327" t="str">
            <v>Jam</v>
          </cell>
        </row>
        <row r="329">
          <cell r="A329" t="str">
            <v>2.e.</v>
          </cell>
          <cell r="C329" t="str">
            <v>ASPHALT FINISHER</v>
          </cell>
          <cell r="D329" t="str">
            <v/>
          </cell>
          <cell r="G329" t="str">
            <v>(E02)</v>
          </cell>
        </row>
        <row r="330">
          <cell r="C330" t="str">
            <v>Kapasitas produksi</v>
          </cell>
          <cell r="G330" t="str">
            <v>V</v>
          </cell>
          <cell r="H330">
            <v>40</v>
          </cell>
          <cell r="I330" t="str">
            <v>ton / Jam</v>
          </cell>
        </row>
        <row r="331">
          <cell r="C331" t="str">
            <v>Faktor efisiensi alat</v>
          </cell>
          <cell r="G331" t="str">
            <v>Fa</v>
          </cell>
          <cell r="H331">
            <v>0.75</v>
          </cell>
          <cell r="I331" t="str">
            <v>-</v>
          </cell>
        </row>
        <row r="332">
          <cell r="C332" t="str">
            <v>Kap.Prod. / jam =</v>
          </cell>
          <cell r="D332" t="str">
            <v xml:space="preserve">V x Fa </v>
          </cell>
          <cell r="G332" t="str">
            <v>Q5</v>
          </cell>
          <cell r="H332">
            <v>13.0435</v>
          </cell>
          <cell r="I332" t="str">
            <v>M3</v>
          </cell>
        </row>
        <row r="333">
          <cell r="D333" t="str">
            <v xml:space="preserve">D1  </v>
          </cell>
        </row>
        <row r="334">
          <cell r="C334" t="str">
            <v>Koefisien Alat / M3</v>
          </cell>
          <cell r="D334" t="str">
            <v xml:space="preserve"> = 1 : Q5</v>
          </cell>
          <cell r="G334" t="str">
            <v>(E02)</v>
          </cell>
          <cell r="H334">
            <v>7.6700000000000004E-2</v>
          </cell>
          <cell r="I334" t="str">
            <v>Jam</v>
          </cell>
          <cell r="J334" t="str">
            <v/>
          </cell>
        </row>
        <row r="336">
          <cell r="A336" t="str">
            <v>2.f.</v>
          </cell>
          <cell r="C336" t="str">
            <v>TANDEM ROLLER</v>
          </cell>
          <cell r="G336" t="str">
            <v>(E17)</v>
          </cell>
        </row>
        <row r="337">
          <cell r="A337" t="str">
            <v/>
          </cell>
          <cell r="C337" t="str">
            <v>Kecepatan rata-rata alat</v>
          </cell>
          <cell r="G337" t="str">
            <v>v</v>
          </cell>
          <cell r="H337">
            <v>3.5</v>
          </cell>
          <cell r="I337" t="str">
            <v>Km / Jam</v>
          </cell>
        </row>
        <row r="338">
          <cell r="C338" t="str">
            <v>Lebar efektif pemadatan</v>
          </cell>
          <cell r="G338" t="str">
            <v>b</v>
          </cell>
          <cell r="H338">
            <v>1.2</v>
          </cell>
          <cell r="I338" t="str">
            <v>M</v>
          </cell>
        </row>
        <row r="339">
          <cell r="C339" t="str">
            <v>Jumlah lintasan</v>
          </cell>
          <cell r="G339" t="str">
            <v>n</v>
          </cell>
          <cell r="H339">
            <v>8</v>
          </cell>
          <cell r="I339" t="str">
            <v>lintasan</v>
          </cell>
          <cell r="J339" t="str">
            <v xml:space="preserve"> 4 Awal &amp; 4 Akhir</v>
          </cell>
        </row>
        <row r="340">
          <cell r="C340" t="str">
            <v>Faktor Efisiensi alat</v>
          </cell>
          <cell r="G340" t="str">
            <v>Fa</v>
          </cell>
          <cell r="H340">
            <v>0.83</v>
          </cell>
          <cell r="I340" t="str">
            <v>-</v>
          </cell>
        </row>
        <row r="341">
          <cell r="C341" t="str">
            <v/>
          </cell>
        </row>
        <row r="342">
          <cell r="J342" t="str">
            <v>Berlanjut ke hal. berikut.</v>
          </cell>
        </row>
        <row r="343">
          <cell r="A343" t="str">
            <v>ITEM PEMBAYARAN NO.</v>
          </cell>
          <cell r="D343" t="str">
            <v>:  6.3 (4)</v>
          </cell>
          <cell r="J343" t="str">
            <v>Analisa EI-634</v>
          </cell>
        </row>
        <row r="344">
          <cell r="A344" t="str">
            <v>JENIS PEKERJAAN</v>
          </cell>
          <cell r="D344" t="str">
            <v>:  Asphalt Treated Base (ATB)</v>
          </cell>
        </row>
        <row r="345">
          <cell r="A345" t="str">
            <v>SATUAN PEMBAYARAN</v>
          </cell>
          <cell r="D345" t="str">
            <v>:  M3</v>
          </cell>
          <cell r="H345" t="str">
            <v xml:space="preserve">         URAIAN ANALISA HARGA SATUAN</v>
          </cell>
        </row>
        <row r="346">
          <cell r="J346" t="str">
            <v>Lanjutan</v>
          </cell>
        </row>
        <row r="348">
          <cell r="A348" t="str">
            <v>No.</v>
          </cell>
          <cell r="C348" t="str">
            <v>U R A I A N</v>
          </cell>
          <cell r="G348" t="str">
            <v>KODE</v>
          </cell>
          <cell r="H348" t="str">
            <v>KOEF.</v>
          </cell>
          <cell r="I348" t="str">
            <v>SATUAN</v>
          </cell>
          <cell r="J348" t="str">
            <v>KETERANGAN</v>
          </cell>
        </row>
        <row r="351">
          <cell r="B351" t="str">
            <v/>
          </cell>
          <cell r="C351" t="str">
            <v xml:space="preserve">Kap. Prod./jam = </v>
          </cell>
          <cell r="D351" t="str">
            <v>(v x 1000) x b x t x Fa</v>
          </cell>
          <cell r="G351" t="str">
            <v>Q6</v>
          </cell>
          <cell r="H351">
            <v>21.787500000000001</v>
          </cell>
          <cell r="I351" t="str">
            <v>M3</v>
          </cell>
        </row>
        <row r="352">
          <cell r="D352" t="str">
            <v>n</v>
          </cell>
        </row>
        <row r="353">
          <cell r="A353" t="str">
            <v>ITEM PEMBAYARAN NO.</v>
          </cell>
          <cell r="C353" t="str">
            <v>Koefisien Alat / M3</v>
          </cell>
          <cell r="D353" t="str">
            <v xml:space="preserve"> = 1 : Q6</v>
          </cell>
          <cell r="G353" t="str">
            <v>(E17)</v>
          </cell>
          <cell r="H353">
            <v>4.5900000000000003E-2</v>
          </cell>
          <cell r="I353" t="str">
            <v>Jam</v>
          </cell>
          <cell r="J353" t="str">
            <v>Analisa EI-817</v>
          </cell>
        </row>
        <row r="354">
          <cell r="A354" t="str">
            <v>JENIS PEKERJAAN</v>
          </cell>
          <cell r="C354" t="str">
            <v/>
          </cell>
          <cell r="D354" t="str">
            <v>:  Penetrasi Macadam Utk.Pek.Minor</v>
          </cell>
        </row>
        <row r="355">
          <cell r="A355" t="str">
            <v>2.g.</v>
          </cell>
          <cell r="C355" t="str">
            <v>PNEUMATIC TIRE ROLLER</v>
          </cell>
          <cell r="D355" t="str">
            <v>:  M3</v>
          </cell>
          <cell r="G355" t="str">
            <v>(E18)</v>
          </cell>
          <cell r="H355" t="str">
            <v xml:space="preserve">         URAIAN ANALISA HARGA SATUAN</v>
          </cell>
        </row>
        <row r="356">
          <cell r="C356" t="str">
            <v>Kecepatan rata-rata</v>
          </cell>
          <cell r="G356" t="str">
            <v>v</v>
          </cell>
          <cell r="H356">
            <v>5</v>
          </cell>
          <cell r="I356" t="str">
            <v>KM / Jam</v>
          </cell>
        </row>
        <row r="357">
          <cell r="C357" t="str">
            <v>Lebar efektif pemadatan</v>
          </cell>
          <cell r="G357" t="str">
            <v>b</v>
          </cell>
          <cell r="H357">
            <v>1.5</v>
          </cell>
          <cell r="I357" t="str">
            <v>M</v>
          </cell>
        </row>
        <row r="358">
          <cell r="A358" t="str">
            <v>No.</v>
          </cell>
          <cell r="C358" t="str">
            <v>Jumlah lintasan</v>
          </cell>
          <cell r="G358" t="str">
            <v>n</v>
          </cell>
          <cell r="H358">
            <v>8</v>
          </cell>
          <cell r="I358" t="str">
            <v>lintasan</v>
          </cell>
          <cell r="J358" t="str">
            <v>KETERANGAN</v>
          </cell>
        </row>
        <row r="359">
          <cell r="C359" t="str">
            <v>Faktor Efisiensi alat</v>
          </cell>
          <cell r="G359" t="str">
            <v>Fa</v>
          </cell>
          <cell r="H359">
            <v>0.83</v>
          </cell>
          <cell r="I359" t="str">
            <v>-</v>
          </cell>
        </row>
        <row r="361">
          <cell r="A361" t="str">
            <v>I.</v>
          </cell>
          <cell r="C361" t="str">
            <v>Kap.Prod. / jam =</v>
          </cell>
          <cell r="D361" t="str">
            <v>(v x 1000) x b x t x Fa</v>
          </cell>
          <cell r="G361" t="str">
            <v>Q7</v>
          </cell>
          <cell r="H361">
            <v>38.906300000000002</v>
          </cell>
          <cell r="I361" t="str">
            <v>M3</v>
          </cell>
        </row>
        <row r="362">
          <cell r="A362">
            <v>1</v>
          </cell>
          <cell r="C362" t="str">
            <v>Menggunakan alat berat (cara mekanik)</v>
          </cell>
          <cell r="D362" t="str">
            <v>n</v>
          </cell>
        </row>
        <row r="363">
          <cell r="A363">
            <v>2</v>
          </cell>
          <cell r="C363" t="str">
            <v>Koefisien Alat / M3</v>
          </cell>
          <cell r="D363" t="str">
            <v xml:space="preserve"> = 1 : Q7</v>
          </cell>
          <cell r="G363" t="str">
            <v>(E18)</v>
          </cell>
          <cell r="H363">
            <v>2.5700000000000001E-2</v>
          </cell>
          <cell r="I363" t="str">
            <v>Jam</v>
          </cell>
        </row>
        <row r="364">
          <cell r="A364">
            <v>3</v>
          </cell>
          <cell r="C364" t="str">
            <v>Kondisi existing jalan : sedang</v>
          </cell>
        </row>
        <row r="365">
          <cell r="A365" t="str">
            <v>2.h.</v>
          </cell>
          <cell r="C365" t="str">
            <v>ALAT BANTU</v>
          </cell>
          <cell r="G365" t="str">
            <v>L</v>
          </cell>
          <cell r="H365">
            <v>1</v>
          </cell>
          <cell r="I365" t="str">
            <v>KM</v>
          </cell>
        </row>
        <row r="366">
          <cell r="A366">
            <v>5</v>
          </cell>
          <cell r="C366" t="str">
            <v>diperlukan :</v>
          </cell>
          <cell r="G366" t="str">
            <v>t</v>
          </cell>
          <cell r="H366">
            <v>0.05</v>
          </cell>
          <cell r="I366" t="str">
            <v>M</v>
          </cell>
          <cell r="J366" t="str">
            <v>Lump Sum</v>
          </cell>
        </row>
        <row r="367">
          <cell r="A367">
            <v>6</v>
          </cell>
          <cell r="C367" t="str">
            <v>- Kereta dorong   = 2 buah</v>
          </cell>
          <cell r="G367" t="str">
            <v>Tk</v>
          </cell>
          <cell r="H367">
            <v>7</v>
          </cell>
          <cell r="I367" t="str">
            <v>Jam</v>
          </cell>
        </row>
        <row r="368">
          <cell r="A368">
            <v>7</v>
          </cell>
          <cell r="C368" t="str">
            <v>- Sekop                = 3 buah</v>
          </cell>
          <cell r="E368" t="str">
            <v>- Agregat</v>
          </cell>
          <cell r="G368" t="str">
            <v>Fh1</v>
          </cell>
          <cell r="H368">
            <v>1.1000000000000001</v>
          </cell>
          <cell r="I368" t="str">
            <v>-</v>
          </cell>
        </row>
        <row r="369">
          <cell r="A369" t="str">
            <v/>
          </cell>
          <cell r="C369" t="str">
            <v>- Garpu                = 2 buah</v>
          </cell>
          <cell r="E369" t="str">
            <v>- Aspal</v>
          </cell>
          <cell r="G369" t="str">
            <v>Fh2</v>
          </cell>
          <cell r="H369">
            <v>1.05</v>
          </cell>
          <cell r="I369" t="str">
            <v>-</v>
          </cell>
        </row>
        <row r="370">
          <cell r="A370">
            <v>8</v>
          </cell>
          <cell r="C370" t="str">
            <v>- Tongkat Kontrol ketebalan hanparan</v>
          </cell>
        </row>
        <row r="371">
          <cell r="C371" t="str">
            <v>- Agregat Pokok</v>
          </cell>
          <cell r="G371" t="str">
            <v>Ak</v>
          </cell>
          <cell r="H371">
            <v>105</v>
          </cell>
          <cell r="I371" t="str">
            <v>Kg/M2</v>
          </cell>
          <cell r="J371" t="str">
            <v xml:space="preserve"> Tabel 6.6.3.</v>
          </cell>
        </row>
        <row r="372">
          <cell r="A372" t="str">
            <v xml:space="preserve">   3.</v>
          </cell>
          <cell r="C372" t="str">
            <v>TENAGA</v>
          </cell>
          <cell r="G372" t="str">
            <v>Ap</v>
          </cell>
          <cell r="H372">
            <v>25</v>
          </cell>
          <cell r="I372" t="str">
            <v>Kg/M2</v>
          </cell>
          <cell r="J372" t="str">
            <v xml:space="preserve"> Tabel 6.6.3.</v>
          </cell>
        </row>
        <row r="373">
          <cell r="C373" t="str">
            <v>Produksi menentukan : Asphalt Mixing Plant (AMP)</v>
          </cell>
          <cell r="G373" t="str">
            <v>Q2</v>
          </cell>
          <cell r="H373">
            <v>10.8261</v>
          </cell>
          <cell r="I373" t="str">
            <v>M3/Jam</v>
          </cell>
          <cell r="J373" t="str">
            <v xml:space="preserve"> Tabel 6.6.3.</v>
          </cell>
        </row>
        <row r="374">
          <cell r="C374" t="str">
            <v>Produksi ATB / hari  =  Tk x Q2</v>
          </cell>
          <cell r="D374" t="str">
            <v>- Paska Agregat Pokok 3,7 kg/M2</v>
          </cell>
          <cell r="G374" t="str">
            <v>Qt</v>
          </cell>
          <cell r="H374">
            <v>75.782700000000006</v>
          </cell>
          <cell r="I374" t="str">
            <v>M3</v>
          </cell>
          <cell r="J374" t="str">
            <v xml:space="preserve"> Tabel 6.6.3.</v>
          </cell>
        </row>
        <row r="375">
          <cell r="C375" t="str">
            <v>Kebutuhan tenaga :</v>
          </cell>
          <cell r="G375" t="str">
            <v>As2</v>
          </cell>
          <cell r="H375">
            <v>104</v>
          </cell>
          <cell r="I375" t="str">
            <v>Kg/M3</v>
          </cell>
          <cell r="J375" t="str">
            <v xml:space="preserve"> (As1 : t)</v>
          </cell>
        </row>
        <row r="376">
          <cell r="A376">
            <v>9</v>
          </cell>
          <cell r="C376" t="str">
            <v>Berat jenis bahan  :</v>
          </cell>
          <cell r="D376" t="str">
            <v>- Pekerja</v>
          </cell>
          <cell r="G376" t="str">
            <v>P</v>
          </cell>
          <cell r="H376">
            <v>7</v>
          </cell>
          <cell r="I376" t="str">
            <v>orang</v>
          </cell>
        </row>
        <row r="377">
          <cell r="C377" t="str">
            <v>- Agregat</v>
          </cell>
          <cell r="D377" t="str">
            <v>- Mandor</v>
          </cell>
          <cell r="G377" t="str">
            <v>M</v>
          </cell>
          <cell r="H377">
            <v>1</v>
          </cell>
          <cell r="I377" t="str">
            <v>orang</v>
          </cell>
        </row>
        <row r="378">
          <cell r="C378" t="str">
            <v>- Aspal</v>
          </cell>
          <cell r="G378" t="str">
            <v>D2</v>
          </cell>
          <cell r="H378">
            <v>1.01</v>
          </cell>
          <cell r="I378" t="str">
            <v>ton / M3</v>
          </cell>
        </row>
        <row r="379">
          <cell r="C379" t="str">
            <v>Koefisien Tenaga / M3     :</v>
          </cell>
          <cell r="G379" t="str">
            <v>D3</v>
          </cell>
          <cell r="H379">
            <v>1.67</v>
          </cell>
          <cell r="I379" t="str">
            <v>ton / M3</v>
          </cell>
        </row>
        <row r="380">
          <cell r="D380" t="str">
            <v>- Pekerja</v>
          </cell>
          <cell r="E380" t="str">
            <v>= (Tk x P) / Qt</v>
          </cell>
          <cell r="G380" t="str">
            <v>(L01)</v>
          </cell>
          <cell r="H380">
            <v>0.64659999999999995</v>
          </cell>
          <cell r="I380" t="str">
            <v>Jam</v>
          </cell>
        </row>
        <row r="381">
          <cell r="D381" t="str">
            <v>- Mandor</v>
          </cell>
          <cell r="E381" t="str">
            <v>= (Tk x M) / Qt</v>
          </cell>
          <cell r="G381" t="str">
            <v>(L03)</v>
          </cell>
          <cell r="H381">
            <v>9.2399999999999996E-2</v>
          </cell>
          <cell r="I381" t="str">
            <v>Jam</v>
          </cell>
        </row>
        <row r="382">
          <cell r="A382" t="str">
            <v>II.</v>
          </cell>
          <cell r="C382" t="str">
            <v>URUTAN KERJA</v>
          </cell>
        </row>
        <row r="383">
          <cell r="A383" t="str">
            <v>4.</v>
          </cell>
          <cell r="C383" t="str">
            <v>HARGA DASAR SATUAN UPAH, BAHAN DAN ALAT</v>
          </cell>
        </row>
        <row r="384">
          <cell r="C384" t="str">
            <v>Lihat lampiran.</v>
          </cell>
        </row>
        <row r="385">
          <cell r="A385">
            <v>2</v>
          </cell>
          <cell r="C385" t="str">
            <v>Agregat kasar dimuat ke dalam Dump Truck</v>
          </cell>
        </row>
        <row r="386">
          <cell r="A386" t="str">
            <v>5.</v>
          </cell>
          <cell r="C386" t="str">
            <v>ANALISA HARGA SATUAN PEKERJAAN</v>
          </cell>
        </row>
        <row r="387">
          <cell r="A387">
            <v>3</v>
          </cell>
          <cell r="C387" t="str">
            <v>Lihat perhitungan dalam FORMULIR STANDAR UNTUK</v>
          </cell>
        </row>
        <row r="388">
          <cell r="C388" t="str">
            <v>PEREKEMAN ANALISA MASING-MASING HARGA</v>
          </cell>
        </row>
        <row r="389">
          <cell r="A389">
            <v>4</v>
          </cell>
          <cell r="C389" t="str">
            <v>SATUAN.</v>
          </cell>
        </row>
        <row r="390">
          <cell r="C390" t="str">
            <v>Didapat Harga Satuan Pekerjaan :</v>
          </cell>
        </row>
        <row r="391">
          <cell r="A391">
            <v>5</v>
          </cell>
          <cell r="C391" t="str">
            <v>Agregat Pengunci ditebarkan dan dipadatkan dengan</v>
          </cell>
        </row>
        <row r="392">
          <cell r="A392" t="str">
            <v/>
          </cell>
          <cell r="C392" t="str">
            <v xml:space="preserve">Rp.  </v>
          </cell>
          <cell r="D392">
            <v>928065.15000000014</v>
          </cell>
          <cell r="E392" t="str">
            <v xml:space="preserve"> / M3.</v>
          </cell>
        </row>
        <row r="394">
          <cell r="A394" t="str">
            <v>III.</v>
          </cell>
          <cell r="C394" t="str">
            <v>PEMAKAIAN BAHAN, ALAT DAN TENAGA</v>
          </cell>
        </row>
        <row r="396">
          <cell r="A396" t="str">
            <v xml:space="preserve">   1.</v>
          </cell>
          <cell r="C396" t="str">
            <v>BAHAN</v>
          </cell>
        </row>
        <row r="397">
          <cell r="A397" t="str">
            <v>1.a.</v>
          </cell>
          <cell r="C397" t="str">
            <v>Agregat Kasar</v>
          </cell>
          <cell r="D397" t="str">
            <v>=  {(Ak/1000 : t M3) x Fh1} : D1</v>
          </cell>
          <cell r="G397" t="str">
            <v>(M03a)</v>
          </cell>
          <cell r="H397">
            <v>1.2833000000000001</v>
          </cell>
          <cell r="I397" t="str">
            <v>M3</v>
          </cell>
        </row>
        <row r="398">
          <cell r="A398" t="str">
            <v>1.b.</v>
          </cell>
          <cell r="C398" t="str">
            <v>Agregat Pengunci</v>
          </cell>
          <cell r="D398" t="str">
            <v>=  {(Ap/1000 : t M3) x Fh1} : D1</v>
          </cell>
          <cell r="G398" t="str">
            <v>(M04a)</v>
          </cell>
          <cell r="H398">
            <v>0.30559999999999998</v>
          </cell>
          <cell r="I398" t="str">
            <v>M3</v>
          </cell>
        </row>
        <row r="399">
          <cell r="A399" t="str">
            <v>1.c.</v>
          </cell>
          <cell r="C399" t="str">
            <v>Agregat Penutup</v>
          </cell>
          <cell r="D399" t="str">
            <v>=  {(Ap2/1000 : t M3) x Fh1} : D3</v>
          </cell>
          <cell r="G399" t="str">
            <v>(M01)</v>
          </cell>
          <cell r="H399">
            <v>0.18440000000000001</v>
          </cell>
          <cell r="I399" t="str">
            <v>M3</v>
          </cell>
        </row>
        <row r="400">
          <cell r="A400" t="str">
            <v>ITEM PEMBAYARAN NO.</v>
          </cell>
          <cell r="C400" t="str">
            <v>Aspal</v>
          </cell>
          <cell r="D400" t="str">
            <v>:  6.6.1</v>
          </cell>
          <cell r="G400" t="str">
            <v>(M10)</v>
          </cell>
          <cell r="H400">
            <v>109.2</v>
          </cell>
          <cell r="I400" t="str">
            <v>Kg</v>
          </cell>
          <cell r="J400" t="str">
            <v>Analisa EI-661</v>
          </cell>
        </row>
        <row r="401">
          <cell r="A401" t="str">
            <v>JENIS PEKERJAAN</v>
          </cell>
          <cell r="D401" t="str">
            <v>:  Lapis Pen. Macadam Permukaan</v>
          </cell>
        </row>
        <row r="402">
          <cell r="A402" t="str">
            <v>SATUAN PEMBAYARAN</v>
          </cell>
          <cell r="C402" t="str">
            <v>ALAT</v>
          </cell>
          <cell r="D402" t="str">
            <v>:  M3</v>
          </cell>
          <cell r="H402" t="str">
            <v xml:space="preserve">         URAIAN ANALISA HARGA SATUAN</v>
          </cell>
        </row>
        <row r="403">
          <cell r="A403" t="str">
            <v>2.a.</v>
          </cell>
          <cell r="C403" t="str">
            <v>WHEEL LOADER</v>
          </cell>
          <cell r="G403" t="str">
            <v>(E15)</v>
          </cell>
        </row>
        <row r="404">
          <cell r="C404" t="str">
            <v>Kapasitas bucket</v>
          </cell>
          <cell r="G404" t="str">
            <v>V</v>
          </cell>
          <cell r="H404">
            <v>0</v>
          </cell>
          <cell r="I404" t="str">
            <v>M3</v>
          </cell>
        </row>
        <row r="405">
          <cell r="A405" t="str">
            <v>No.</v>
          </cell>
          <cell r="C405" t="str">
            <v>U R A I A N</v>
          </cell>
          <cell r="G405" t="str">
            <v>KODE</v>
          </cell>
          <cell r="H405" t="str">
            <v>KOEF.</v>
          </cell>
          <cell r="I405" t="str">
            <v>SATUAN</v>
          </cell>
          <cell r="J405" t="str">
            <v>KETERANGAN</v>
          </cell>
        </row>
        <row r="406">
          <cell r="C406" t="str">
            <v>Faktor efisiensi alat</v>
          </cell>
          <cell r="G406" t="str">
            <v>Fa</v>
          </cell>
          <cell r="H406">
            <v>0</v>
          </cell>
          <cell r="I406" t="str">
            <v>-</v>
          </cell>
        </row>
        <row r="407">
          <cell r="C407" t="str">
            <v>Waktu Siklus</v>
          </cell>
          <cell r="G407" t="str">
            <v>Ts1</v>
          </cell>
        </row>
        <row r="408">
          <cell r="A408" t="str">
            <v>I.</v>
          </cell>
          <cell r="C408" t="str">
            <v>ASUMSI</v>
          </cell>
          <cell r="G408" t="str">
            <v>T1</v>
          </cell>
          <cell r="H408">
            <v>0</v>
          </cell>
          <cell r="I408" t="str">
            <v>menit</v>
          </cell>
        </row>
        <row r="409">
          <cell r="A409">
            <v>1</v>
          </cell>
          <cell r="C409" t="str">
            <v>Menggunakan alat berat (cara mekanik)</v>
          </cell>
          <cell r="G409" t="str">
            <v>T2</v>
          </cell>
          <cell r="H409">
            <v>0</v>
          </cell>
          <cell r="I409" t="str">
            <v>menit</v>
          </cell>
        </row>
        <row r="410">
          <cell r="A410">
            <v>2</v>
          </cell>
          <cell r="C410" t="str">
            <v>Lokasi pekerjaan : sekitar jembatan</v>
          </cell>
          <cell r="G410" t="str">
            <v>Ts1</v>
          </cell>
          <cell r="H410">
            <v>0</v>
          </cell>
          <cell r="I410" t="str">
            <v>menit</v>
          </cell>
        </row>
        <row r="411">
          <cell r="A411">
            <v>3</v>
          </cell>
          <cell r="C411" t="str">
            <v>Kondisi existing jalan : sedang</v>
          </cell>
        </row>
        <row r="412">
          <cell r="A412">
            <v>4</v>
          </cell>
          <cell r="C412" t="str">
            <v>Jarak rata-rata Base Camp ke lokasi pekerjaan</v>
          </cell>
          <cell r="G412" t="str">
            <v>L</v>
          </cell>
          <cell r="H412">
            <v>1</v>
          </cell>
          <cell r="I412" t="str">
            <v>KM</v>
          </cell>
          <cell r="J412" t="str">
            <v>Berlanjut ke halaman berikut</v>
          </cell>
        </row>
        <row r="413">
          <cell r="A413">
            <v>5</v>
          </cell>
          <cell r="C413" t="str">
            <v>Tebal rata2 Lapen</v>
          </cell>
          <cell r="D413" t="str">
            <v>:  8.1 (7)</v>
          </cell>
          <cell r="G413" t="str">
            <v>t</v>
          </cell>
          <cell r="H413">
            <v>0.05</v>
          </cell>
          <cell r="I413" t="str">
            <v>M</v>
          </cell>
          <cell r="J413" t="str">
            <v>Analisa EI-817</v>
          </cell>
        </row>
        <row r="414">
          <cell r="A414">
            <v>6</v>
          </cell>
          <cell r="C414" t="str">
            <v>Jam kerja efektif per-hari</v>
          </cell>
          <cell r="D414" t="str">
            <v>:  Penetrasi Macadam Utk.Pek.Minor</v>
          </cell>
          <cell r="G414" t="str">
            <v>Tk</v>
          </cell>
          <cell r="H414">
            <v>7</v>
          </cell>
          <cell r="I414" t="str">
            <v>Jam</v>
          </cell>
        </row>
        <row r="415">
          <cell r="A415">
            <v>7</v>
          </cell>
          <cell r="C415" t="str">
            <v>Faktor kehilanganmaterial :</v>
          </cell>
          <cell r="D415" t="str">
            <v>:  M3</v>
          </cell>
          <cell r="E415" t="str">
            <v>- Agregat</v>
          </cell>
          <cell r="G415" t="str">
            <v>Fh1</v>
          </cell>
          <cell r="H415">
            <v>1.1000000000000001</v>
          </cell>
          <cell r="I415" t="str">
            <v>-</v>
          </cell>
        </row>
        <row r="416">
          <cell r="A416" t="str">
            <v/>
          </cell>
          <cell r="E416" t="str">
            <v>- Aspal</v>
          </cell>
          <cell r="G416" t="str">
            <v>Fh2</v>
          </cell>
          <cell r="H416">
            <v>1.05</v>
          </cell>
          <cell r="I416" t="str">
            <v>-</v>
          </cell>
          <cell r="J416" t="str">
            <v>Lanjutan</v>
          </cell>
        </row>
        <row r="417">
          <cell r="A417">
            <v>8</v>
          </cell>
          <cell r="C417" t="str">
            <v>Komposisi campuran Lapen (spesifikasi)  :</v>
          </cell>
        </row>
        <row r="418">
          <cell r="A418" t="str">
            <v>No.</v>
          </cell>
          <cell r="C418" t="str">
            <v>- Agregat Pokok</v>
          </cell>
          <cell r="G418" t="str">
            <v>Ak</v>
          </cell>
          <cell r="H418">
            <v>105</v>
          </cell>
          <cell r="I418" t="str">
            <v>Kg/M2</v>
          </cell>
          <cell r="J418" t="str">
            <v xml:space="preserve"> Tabel 6.6.3.</v>
          </cell>
        </row>
        <row r="419">
          <cell r="C419" t="str">
            <v>- Agregat Pengunci</v>
          </cell>
          <cell r="G419" t="str">
            <v>Ap1</v>
          </cell>
          <cell r="H419">
            <v>25</v>
          </cell>
          <cell r="I419" t="str">
            <v>Kg/M2</v>
          </cell>
          <cell r="J419" t="str">
            <v xml:space="preserve"> Tabel 6.6.3.</v>
          </cell>
        </row>
        <row r="420">
          <cell r="C420" t="str">
            <v>- Agregat Penutup</v>
          </cell>
          <cell r="G420" t="str">
            <v>Ap2</v>
          </cell>
          <cell r="H420">
            <v>14</v>
          </cell>
          <cell r="I420" t="str">
            <v>Kg/M2</v>
          </cell>
          <cell r="J420" t="str">
            <v xml:space="preserve"> Tabel 6.6.3.</v>
          </cell>
        </row>
        <row r="421">
          <cell r="C421" t="str">
            <v>- Aspal                  :</v>
          </cell>
          <cell r="D421" t="str">
            <v>- Paska Agregat Pokok</v>
          </cell>
          <cell r="G421" t="str">
            <v>As1</v>
          </cell>
          <cell r="H421">
            <v>3.7</v>
          </cell>
          <cell r="I421" t="str">
            <v>Kg/M2</v>
          </cell>
          <cell r="J421" t="str">
            <v xml:space="preserve"> Tabel 6.6.3.</v>
          </cell>
        </row>
        <row r="422">
          <cell r="D422" t="str">
            <v>- Paska Agregat Pengunci</v>
          </cell>
          <cell r="G422" t="str">
            <v>As2</v>
          </cell>
          <cell r="H422">
            <v>1.5</v>
          </cell>
          <cell r="I422" t="str">
            <v>Kg/M2</v>
          </cell>
          <cell r="J422" t="str">
            <v xml:space="preserve"> Tabel 6.6.3.</v>
          </cell>
        </row>
        <row r="423">
          <cell r="G423" t="str">
            <v>As</v>
          </cell>
          <cell r="H423">
            <v>104</v>
          </cell>
          <cell r="I423" t="str">
            <v>Kg/M3</v>
          </cell>
        </row>
        <row r="424">
          <cell r="A424">
            <v>9</v>
          </cell>
          <cell r="C424" t="str">
            <v>Berat jenis bahan  :</v>
          </cell>
          <cell r="D424" t="str">
            <v xml:space="preserve"> = 1 : Q1</v>
          </cell>
          <cell r="G424" t="str">
            <v>(E15)</v>
          </cell>
          <cell r="H424">
            <v>0</v>
          </cell>
          <cell r="I424" t="str">
            <v>Jam</v>
          </cell>
        </row>
        <row r="425">
          <cell r="C425" t="str">
            <v>- Agregat</v>
          </cell>
          <cell r="G425" t="str">
            <v>D1</v>
          </cell>
          <cell r="H425">
            <v>1.8</v>
          </cell>
          <cell r="I425" t="str">
            <v>ton / M3</v>
          </cell>
        </row>
        <row r="426">
          <cell r="A426" t="str">
            <v>2.b.</v>
          </cell>
          <cell r="C426" t="str">
            <v>- Aspal</v>
          </cell>
          <cell r="G426" t="str">
            <v>D2</v>
          </cell>
          <cell r="H426">
            <v>1.01</v>
          </cell>
          <cell r="I426" t="str">
            <v>ton / M3</v>
          </cell>
        </row>
        <row r="427">
          <cell r="C427" t="str">
            <v>- Agregat Penutup ( Pasir )</v>
          </cell>
          <cell r="G427" t="str">
            <v>D3</v>
          </cell>
          <cell r="H427">
            <v>1.67</v>
          </cell>
          <cell r="I427" t="str">
            <v>ton / M3</v>
          </cell>
        </row>
        <row r="428">
          <cell r="A428" t="str">
            <v>II.</v>
          </cell>
          <cell r="C428" t="str">
            <v>URUTAN KERJA</v>
          </cell>
          <cell r="G428" t="str">
            <v>Fa</v>
          </cell>
          <cell r="H428">
            <v>0.83</v>
          </cell>
          <cell r="I428" t="str">
            <v>-</v>
          </cell>
        </row>
        <row r="429">
          <cell r="A429">
            <v>1</v>
          </cell>
          <cell r="C429" t="str">
            <v>Permukaan dasar dibersihkan dan disemprot aspal cair</v>
          </cell>
          <cell r="G429" t="str">
            <v>v1</v>
          </cell>
          <cell r="H429">
            <v>40</v>
          </cell>
          <cell r="I429" t="str">
            <v>KM / Jam</v>
          </cell>
        </row>
        <row r="430">
          <cell r="A430">
            <v>2</v>
          </cell>
          <cell r="C430" t="str">
            <v>Agregat kasar dimuat ke dalam Dump Truck</v>
          </cell>
          <cell r="G430" t="str">
            <v>v2</v>
          </cell>
          <cell r="H430">
            <v>50</v>
          </cell>
          <cell r="I430" t="str">
            <v>KM / Jam</v>
          </cell>
        </row>
        <row r="431">
          <cell r="C431" t="str">
            <v>menggunakan Wheel Loader (di Base Camp)</v>
          </cell>
        </row>
        <row r="432">
          <cell r="A432">
            <v>3</v>
          </cell>
          <cell r="C432" t="str">
            <v>Agregat Kasar ditebarkan (manual) sesuai tebal yang diperlukan dan</v>
          </cell>
        </row>
        <row r="433">
          <cell r="C433" t="str">
            <v>dipadatkan dengan TW Roller (6-8 ton) minimum 6 lintasan</v>
          </cell>
          <cell r="G433" t="str">
            <v>Ts2</v>
          </cell>
        </row>
        <row r="434">
          <cell r="A434">
            <v>4</v>
          </cell>
          <cell r="C434" t="str">
            <v>Aspal disemprotkan di atas agregat kasar yang telah diratakan dengan</v>
          </cell>
          <cell r="G434" t="str">
            <v>T1</v>
          </cell>
          <cell r="H434">
            <v>0</v>
          </cell>
          <cell r="I434" t="str">
            <v>menit</v>
          </cell>
        </row>
        <row r="435">
          <cell r="C435" t="str">
            <v>Asphalt Sprayer (merata)</v>
          </cell>
          <cell r="D435" t="str">
            <v>= (L : v1) x 60 menit</v>
          </cell>
          <cell r="G435" t="str">
            <v>T2</v>
          </cell>
          <cell r="H435">
            <v>1.5</v>
          </cell>
          <cell r="I435" t="str">
            <v>menit</v>
          </cell>
        </row>
        <row r="436">
          <cell r="A436">
            <v>5</v>
          </cell>
          <cell r="C436" t="str">
            <v>Agregat Pengunci ditebarkan dan dipadatkan dengan cara yang sama</v>
          </cell>
          <cell r="G436" t="str">
            <v>T3</v>
          </cell>
          <cell r="H436">
            <v>15</v>
          </cell>
          <cell r="I436" t="str">
            <v>menit</v>
          </cell>
        </row>
        <row r="437">
          <cell r="A437" t="str">
            <v/>
          </cell>
          <cell r="C437" t="str">
            <v>dengan pemadatan agregat kasar disusul agregate penutup</v>
          </cell>
          <cell r="D437" t="str">
            <v>= (L : v2) x 60 menit</v>
          </cell>
          <cell r="G437" t="str">
            <v>T4</v>
          </cell>
          <cell r="H437">
            <v>1.2</v>
          </cell>
          <cell r="I437" t="str">
            <v>menit</v>
          </cell>
        </row>
        <row r="438">
          <cell r="G438" t="str">
            <v>Ts2</v>
          </cell>
          <cell r="H438">
            <v>17.7</v>
          </cell>
          <cell r="I438" t="str">
            <v>menit</v>
          </cell>
        </row>
        <row r="439">
          <cell r="A439" t="str">
            <v>III.</v>
          </cell>
          <cell r="C439" t="str">
            <v>PEMAKAIAN BAHAN, ALAT DAN TENAGA</v>
          </cell>
        </row>
        <row r="440">
          <cell r="A440" t="str">
            <v xml:space="preserve">   1.</v>
          </cell>
          <cell r="C440" t="str">
            <v>BAHAN</v>
          </cell>
          <cell r="D440" t="str">
            <v>V x Fa x 60</v>
          </cell>
          <cell r="G440" t="str">
            <v>Q2</v>
          </cell>
          <cell r="H440">
            <v>16.881399999999999</v>
          </cell>
          <cell r="I440" t="str">
            <v>M3</v>
          </cell>
        </row>
        <row r="441">
          <cell r="A441" t="str">
            <v>1.a.</v>
          </cell>
          <cell r="C441" t="str">
            <v>Agregat Kasar</v>
          </cell>
          <cell r="D441" t="str">
            <v>=  {(Ak/1000 : t M3) x Fh1} : D1</v>
          </cell>
          <cell r="G441" t="str">
            <v>(M03a)</v>
          </cell>
          <cell r="H441">
            <v>1.2833000000000001</v>
          </cell>
          <cell r="I441" t="str">
            <v>M3</v>
          </cell>
        </row>
        <row r="442">
          <cell r="A442" t="str">
            <v>1.b.</v>
          </cell>
          <cell r="C442" t="str">
            <v>Agregat Pengunci</v>
          </cell>
          <cell r="D442" t="str">
            <v>=  {(Ap1/1000 : t M3) x Fh1} : D1</v>
          </cell>
          <cell r="G442" t="str">
            <v>(M04a)</v>
          </cell>
          <cell r="H442">
            <v>0.30559999999999998</v>
          </cell>
          <cell r="I442" t="str">
            <v>M3</v>
          </cell>
        </row>
        <row r="443">
          <cell r="A443" t="str">
            <v>1.c.</v>
          </cell>
          <cell r="C443" t="str">
            <v>Agregat Penutup</v>
          </cell>
          <cell r="D443" t="str">
            <v>=  {(Ap2/1000 : t M3) x Fh1} : D3</v>
          </cell>
          <cell r="G443" t="str">
            <v>(M01)</v>
          </cell>
          <cell r="H443">
            <v>0.18440000000000001</v>
          </cell>
          <cell r="I443" t="str">
            <v>M3</v>
          </cell>
        </row>
        <row r="444">
          <cell r="A444" t="str">
            <v>1.d.</v>
          </cell>
          <cell r="C444" t="str">
            <v>Aspal</v>
          </cell>
          <cell r="D444" t="str">
            <v>=  {((As1+As2) : t M3) x Fh2}</v>
          </cell>
          <cell r="G444" t="str">
            <v>(M10)</v>
          </cell>
          <cell r="H444">
            <v>109.2</v>
          </cell>
          <cell r="I444" t="str">
            <v>Kg</v>
          </cell>
        </row>
        <row r="445">
          <cell r="A445" t="str">
            <v>2.c.</v>
          </cell>
          <cell r="C445" t="str">
            <v>THREE WHEEL ROLLER</v>
          </cell>
          <cell r="G445" t="str">
            <v>(E16)</v>
          </cell>
        </row>
        <row r="446">
          <cell r="A446" t="str">
            <v>2.</v>
          </cell>
          <cell r="C446" t="str">
            <v>ALAT</v>
          </cell>
          <cell r="G446" t="str">
            <v>v</v>
          </cell>
          <cell r="H446">
            <v>2</v>
          </cell>
          <cell r="I446" t="str">
            <v>Km / Jam</v>
          </cell>
        </row>
        <row r="447">
          <cell r="A447" t="str">
            <v>2.a.</v>
          </cell>
          <cell r="C447" t="str">
            <v>WHEEL LOADER</v>
          </cell>
          <cell r="G447" t="str">
            <v>(E15)</v>
          </cell>
          <cell r="H447">
            <v>1.2</v>
          </cell>
          <cell r="I447" t="str">
            <v>M</v>
          </cell>
        </row>
        <row r="448">
          <cell r="C448" t="str">
            <v>Kapasitas bucket</v>
          </cell>
          <cell r="G448" t="str">
            <v>V</v>
          </cell>
          <cell r="H448">
            <v>0</v>
          </cell>
          <cell r="I448" t="str">
            <v>M3</v>
          </cell>
        </row>
        <row r="449">
          <cell r="C449" t="str">
            <v>Faktor bucket</v>
          </cell>
          <cell r="G449" t="str">
            <v>Fb</v>
          </cell>
          <cell r="H449">
            <v>0</v>
          </cell>
          <cell r="I449" t="str">
            <v>-</v>
          </cell>
        </row>
        <row r="450">
          <cell r="C450" t="str">
            <v>Faktor efisiensi alat</v>
          </cell>
          <cell r="G450" t="str">
            <v>Fa</v>
          </cell>
          <cell r="H450">
            <v>0</v>
          </cell>
          <cell r="I450" t="str">
            <v>-</v>
          </cell>
        </row>
        <row r="451">
          <cell r="C451" t="str">
            <v>Waktu Siklus</v>
          </cell>
          <cell r="D451" t="str">
            <v>(v x 1000) x b x t x Fa</v>
          </cell>
          <cell r="G451" t="str">
            <v>Ts1</v>
          </cell>
          <cell r="H451">
            <v>12.45</v>
          </cell>
          <cell r="I451" t="str">
            <v>M3</v>
          </cell>
        </row>
        <row r="452">
          <cell r="C452" t="str">
            <v>- Memuat, menuang, kembali</v>
          </cell>
          <cell r="D452" t="str">
            <v>n</v>
          </cell>
          <cell r="G452" t="str">
            <v>T1</v>
          </cell>
          <cell r="H452">
            <v>0</v>
          </cell>
          <cell r="I452" t="str">
            <v>menit</v>
          </cell>
        </row>
        <row r="453">
          <cell r="C453" t="str">
            <v>- Menunggu, dan lain lain</v>
          </cell>
          <cell r="D453" t="str">
            <v xml:space="preserve"> =  1  :  Q3</v>
          </cell>
          <cell r="G453" t="str">
            <v>T2</v>
          </cell>
          <cell r="H453">
            <v>0</v>
          </cell>
          <cell r="I453" t="str">
            <v>menit</v>
          </cell>
        </row>
        <row r="454">
          <cell r="G454" t="str">
            <v>Ts1</v>
          </cell>
          <cell r="H454">
            <v>0</v>
          </cell>
          <cell r="I454" t="str">
            <v>menit</v>
          </cell>
        </row>
        <row r="455">
          <cell r="A455" t="str">
            <v>2.d.</v>
          </cell>
          <cell r="C455" t="str">
            <v>ASPHALT SPRAYER</v>
          </cell>
          <cell r="G455" t="str">
            <v>(E03)</v>
          </cell>
        </row>
        <row r="456">
          <cell r="C456" t="str">
            <v>Kapasitas alat</v>
          </cell>
          <cell r="G456" t="str">
            <v>V</v>
          </cell>
          <cell r="H456">
            <v>800</v>
          </cell>
          <cell r="I456" t="str">
            <v>liter</v>
          </cell>
          <cell r="J456" t="str">
            <v>Berlanjut ke halaman berikut</v>
          </cell>
        </row>
        <row r="457">
          <cell r="A457" t="str">
            <v>ITEM PEMBAYARAN NO.</v>
          </cell>
          <cell r="C457" t="str">
            <v>Faktor efisiensi alat</v>
          </cell>
          <cell r="D457" t="str">
            <v>:  6.6.1</v>
          </cell>
          <cell r="G457" t="str">
            <v>Fa</v>
          </cell>
          <cell r="H457">
            <v>0.83</v>
          </cell>
          <cell r="I457" t="str">
            <v>-</v>
          </cell>
          <cell r="J457" t="str">
            <v>Analisa EI-661</v>
          </cell>
        </row>
        <row r="458">
          <cell r="A458" t="str">
            <v>JENIS PEKERJAAN</v>
          </cell>
          <cell r="C458" t="str">
            <v>Waktu Siklus (termasuk proses pemanasan)</v>
          </cell>
          <cell r="D458" t="str">
            <v>:  Lapis Pen. Macadam Permukaan</v>
          </cell>
          <cell r="G458" t="str">
            <v>Ts3</v>
          </cell>
          <cell r="H458">
            <v>2</v>
          </cell>
          <cell r="I458" t="str">
            <v>Jam</v>
          </cell>
        </row>
        <row r="459">
          <cell r="A459" t="str">
            <v>SATUAN PEMBAYARAN</v>
          </cell>
          <cell r="D459" t="str">
            <v>:  M3</v>
          </cell>
          <cell r="H459" t="str">
            <v xml:space="preserve">         URAIAN ANALISA HARGA SATUAN</v>
          </cell>
        </row>
        <row r="460">
          <cell r="C460" t="str">
            <v>Kap. Prod. / jam =</v>
          </cell>
          <cell r="D460" t="str">
            <v>V x Fa x D2</v>
          </cell>
          <cell r="G460" t="str">
            <v>Q4</v>
          </cell>
          <cell r="H460">
            <v>3.2242000000000002</v>
          </cell>
          <cell r="I460" t="str">
            <v>M3</v>
          </cell>
          <cell r="J460" t="str">
            <v>Lanjutan</v>
          </cell>
        </row>
        <row r="461">
          <cell r="D461" t="str">
            <v>Ts3 x As2</v>
          </cell>
        </row>
        <row r="462">
          <cell r="A462" t="str">
            <v>No.</v>
          </cell>
          <cell r="C462" t="str">
            <v>U R A I A N</v>
          </cell>
          <cell r="D462" t="str">
            <v xml:space="preserve"> =  1  :  Q4</v>
          </cell>
          <cell r="G462" t="str">
            <v>KODE</v>
          </cell>
          <cell r="H462" t="str">
            <v>KOEF.</v>
          </cell>
          <cell r="I462" t="str">
            <v>SATUAN</v>
          </cell>
          <cell r="J462" t="str">
            <v>KETERANGAN</v>
          </cell>
        </row>
        <row r="465">
          <cell r="C465" t="str">
            <v xml:space="preserve">Kap. Prod. / jam = </v>
          </cell>
          <cell r="D465" t="str">
            <v>V x Fb x Fa x 60</v>
          </cell>
          <cell r="G465" t="str">
            <v>Q1</v>
          </cell>
          <cell r="H465">
            <v>0</v>
          </cell>
          <cell r="I465" t="str">
            <v>M3</v>
          </cell>
          <cell r="J465" t="str">
            <v/>
          </cell>
        </row>
        <row r="466">
          <cell r="D466" t="str">
            <v>Ts1</v>
          </cell>
        </row>
        <row r="468">
          <cell r="C468" t="str">
            <v>Koefisien Alat/M3</v>
          </cell>
          <cell r="D468" t="str">
            <v xml:space="preserve"> = 1 : Q1</v>
          </cell>
          <cell r="G468" t="str">
            <v>(E15)</v>
          </cell>
          <cell r="H468">
            <v>0</v>
          </cell>
          <cell r="I468" t="str">
            <v>Jam</v>
          </cell>
        </row>
        <row r="469">
          <cell r="C469" t="str">
            <v/>
          </cell>
        </row>
        <row r="470">
          <cell r="A470" t="str">
            <v>2.b.</v>
          </cell>
          <cell r="C470" t="str">
            <v>DUMP TRUCK (DT)</v>
          </cell>
          <cell r="G470" t="str">
            <v>(E09)</v>
          </cell>
          <cell r="J470" t="str">
            <v>Berlanjut ke halaman berikut</v>
          </cell>
        </row>
        <row r="471">
          <cell r="A471" t="str">
            <v>ITEM PEMBAYARAN NO.</v>
          </cell>
          <cell r="C471" t="str">
            <v>Kapasitas bak</v>
          </cell>
          <cell r="D471" t="str">
            <v>:  8.1 (7)</v>
          </cell>
          <cell r="G471" t="str">
            <v>V</v>
          </cell>
          <cell r="H471">
            <v>6</v>
          </cell>
          <cell r="I471" t="str">
            <v>M3</v>
          </cell>
          <cell r="J471" t="str">
            <v>Analisa EI-817</v>
          </cell>
        </row>
        <row r="472">
          <cell r="A472" t="str">
            <v>JENIS PEKERJAAN</v>
          </cell>
          <cell r="C472" t="str">
            <v>Faktor Efisiensi alat</v>
          </cell>
          <cell r="D472" t="str">
            <v>:  Penetrasi Macadam Utk.Pek.Minor</v>
          </cell>
          <cell r="G472" t="str">
            <v>Fa</v>
          </cell>
          <cell r="H472">
            <v>0.83</v>
          </cell>
          <cell r="I472" t="str">
            <v>-</v>
          </cell>
        </row>
        <row r="473">
          <cell r="A473" t="str">
            <v>SATUAN PEMBAYARAN</v>
          </cell>
          <cell r="C473" t="str">
            <v>Kecepatan rata-rata bermuatan</v>
          </cell>
          <cell r="D473" t="str">
            <v>:  M3</v>
          </cell>
          <cell r="G473" t="str">
            <v>v1</v>
          </cell>
          <cell r="H473">
            <v>40</v>
          </cell>
          <cell r="I473" t="str">
            <v>KM / Jam</v>
          </cell>
        </row>
        <row r="474">
          <cell r="C474" t="str">
            <v>Kecepatan rata-rata kosong</v>
          </cell>
          <cell r="G474" t="str">
            <v>v2</v>
          </cell>
          <cell r="H474">
            <v>50</v>
          </cell>
          <cell r="I474" t="str">
            <v>KM / Jam</v>
          </cell>
          <cell r="J474" t="str">
            <v>Lanjutan</v>
          </cell>
        </row>
        <row r="476">
          <cell r="A476" t="str">
            <v>No.</v>
          </cell>
          <cell r="C476" t="str">
            <v>U R A I A N</v>
          </cell>
          <cell r="G476" t="str">
            <v>KODE</v>
          </cell>
          <cell r="H476" t="str">
            <v>KOEF.</v>
          </cell>
          <cell r="I476" t="str">
            <v>SATUAN</v>
          </cell>
          <cell r="J476" t="str">
            <v>KETERANGAN</v>
          </cell>
        </row>
        <row r="477">
          <cell r="C477" t="str">
            <v>Waktu Siklus</v>
          </cell>
          <cell r="G477" t="str">
            <v>Ts2</v>
          </cell>
        </row>
        <row r="478">
          <cell r="C478" t="str">
            <v xml:space="preserve">- Mengisi Bak </v>
          </cell>
          <cell r="G478" t="str">
            <v>T1</v>
          </cell>
          <cell r="H478">
            <v>0</v>
          </cell>
          <cell r="I478" t="str">
            <v>menit</v>
          </cell>
        </row>
        <row r="479">
          <cell r="A479" t="str">
            <v>2.e.</v>
          </cell>
          <cell r="B479" t="str">
            <v/>
          </cell>
          <cell r="C479" t="str">
            <v>- Angkut</v>
          </cell>
          <cell r="D479" t="str">
            <v>= (L : v1) x 60 menit</v>
          </cell>
          <cell r="G479" t="str">
            <v>T2</v>
          </cell>
          <cell r="H479">
            <v>1.5</v>
          </cell>
          <cell r="I479" t="str">
            <v>menit</v>
          </cell>
        </row>
        <row r="480">
          <cell r="C480" t="str">
            <v>- Tunggu + dump + Putar</v>
          </cell>
          <cell r="D480">
            <v>75</v>
          </cell>
          <cell r="E480" t="str">
            <v>M3 pekerjaan</v>
          </cell>
          <cell r="G480" t="str">
            <v>T3</v>
          </cell>
          <cell r="H480">
            <v>10</v>
          </cell>
          <cell r="I480" t="str">
            <v>menit</v>
          </cell>
          <cell r="J480" t="str">
            <v>Lump Sum</v>
          </cell>
        </row>
        <row r="481">
          <cell r="C481" t="str">
            <v>- Kembali</v>
          </cell>
          <cell r="D481" t="str">
            <v>= (L : v2) x 60 menit</v>
          </cell>
          <cell r="G481" t="str">
            <v>T4</v>
          </cell>
          <cell r="H481">
            <v>1.2</v>
          </cell>
          <cell r="I481" t="str">
            <v>menit</v>
          </cell>
        </row>
        <row r="482">
          <cell r="C482" t="str">
            <v>- Sekop</v>
          </cell>
          <cell r="D482" t="str">
            <v>=  5  buah</v>
          </cell>
          <cell r="G482" t="str">
            <v>Ts2</v>
          </cell>
          <cell r="H482">
            <v>12.7</v>
          </cell>
          <cell r="I482" t="str">
            <v>menit</v>
          </cell>
        </row>
        <row r="483">
          <cell r="C483" t="str">
            <v>- Sapu</v>
          </cell>
          <cell r="D483" t="str">
            <v>=  5  buah</v>
          </cell>
        </row>
        <row r="484">
          <cell r="C484" t="str">
            <v>Kap.Prod. / jam =</v>
          </cell>
          <cell r="D484" t="str">
            <v>V x Fa x 60</v>
          </cell>
          <cell r="G484" t="str">
            <v>Q2</v>
          </cell>
          <cell r="H484">
            <v>23.5276</v>
          </cell>
          <cell r="I484" t="str">
            <v>M3</v>
          </cell>
        </row>
        <row r="485">
          <cell r="C485" t="str">
            <v>- Karung</v>
          </cell>
          <cell r="D485" t="str">
            <v>Ts2</v>
          </cell>
        </row>
        <row r="486">
          <cell r="C486" t="str">
            <v>- Cerek Aspal</v>
          </cell>
          <cell r="D486" t="str">
            <v>=  3  buah</v>
          </cell>
        </row>
        <row r="487">
          <cell r="C487" t="str">
            <v>Koefisien Alat / M3 = 1 : Q2</v>
          </cell>
          <cell r="D487" t="str">
            <v>=  3  buah</v>
          </cell>
          <cell r="G487" t="str">
            <v>(E09)</v>
          </cell>
          <cell r="H487">
            <v>4.2500000000000003E-2</v>
          </cell>
          <cell r="I487" t="str">
            <v>Jam</v>
          </cell>
        </row>
        <row r="489">
          <cell r="A489" t="str">
            <v>2.c.</v>
          </cell>
          <cell r="C489" t="str">
            <v>THREE WHEEL ROLLER</v>
          </cell>
          <cell r="G489" t="str">
            <v>(E16)</v>
          </cell>
        </row>
        <row r="490">
          <cell r="C490" t="str">
            <v>Kecepatan rata-rata alat</v>
          </cell>
          <cell r="G490" t="str">
            <v>v</v>
          </cell>
          <cell r="H490">
            <v>3.5</v>
          </cell>
          <cell r="I490" t="str">
            <v>Km / Jam</v>
          </cell>
        </row>
        <row r="491">
          <cell r="C491" t="str">
            <v>Lebar efektif pemadatan</v>
          </cell>
          <cell r="G491" t="str">
            <v>b</v>
          </cell>
          <cell r="H491">
            <v>1.2</v>
          </cell>
          <cell r="I491" t="str">
            <v>M</v>
          </cell>
        </row>
        <row r="492">
          <cell r="C492" t="str">
            <v>Jumlah lintasan</v>
          </cell>
          <cell r="G492" t="str">
            <v>n</v>
          </cell>
          <cell r="H492">
            <v>8</v>
          </cell>
          <cell r="I492" t="str">
            <v>lintasan</v>
          </cell>
          <cell r="J492" t="str">
            <v/>
          </cell>
        </row>
        <row r="493">
          <cell r="C493" t="str">
            <v>Faktor Efisiensi alat</v>
          </cell>
          <cell r="D493" t="str">
            <v>- Pekerja</v>
          </cell>
          <cell r="G493" t="str">
            <v>Fa</v>
          </cell>
          <cell r="H493">
            <v>0.83</v>
          </cell>
          <cell r="I493" t="str">
            <v>-</v>
          </cell>
        </row>
        <row r="494">
          <cell r="D494" t="str">
            <v>- Mandor</v>
          </cell>
          <cell r="G494" t="str">
            <v>M</v>
          </cell>
          <cell r="H494">
            <v>2</v>
          </cell>
          <cell r="I494" t="str">
            <v>orang</v>
          </cell>
        </row>
        <row r="495">
          <cell r="C495" t="str">
            <v xml:space="preserve">Kap. Prod. / jam = </v>
          </cell>
          <cell r="D495" t="str">
            <v>(v x 1000) x b x t x Fa</v>
          </cell>
          <cell r="G495" t="str">
            <v>Q3</v>
          </cell>
          <cell r="H495">
            <v>21.787500000000001</v>
          </cell>
          <cell r="I495" t="str">
            <v>M3</v>
          </cell>
        </row>
        <row r="496">
          <cell r="C496" t="str">
            <v>Koefisien Tenaga / M3     :</v>
          </cell>
          <cell r="D496" t="str">
            <v>n</v>
          </cell>
        </row>
        <row r="497">
          <cell r="C497" t="str">
            <v>Koefisien Alat / M3</v>
          </cell>
          <cell r="D497" t="str">
            <v xml:space="preserve"> =  1  :  Q3</v>
          </cell>
          <cell r="E497" t="str">
            <v>= (Tk x P) / Qt</v>
          </cell>
          <cell r="G497" t="str">
            <v>(E16)</v>
          </cell>
          <cell r="H497">
            <v>4.5897877223178424E-2</v>
          </cell>
          <cell r="I497" t="str">
            <v>Jam</v>
          </cell>
        </row>
        <row r="498">
          <cell r="D498" t="str">
            <v>- Mandor</v>
          </cell>
          <cell r="E498" t="str">
            <v>= (Tk x M) / Qt</v>
          </cell>
          <cell r="G498" t="str">
            <v>(L03)</v>
          </cell>
          <cell r="H498">
            <v>0.16059999999999999</v>
          </cell>
          <cell r="I498" t="str">
            <v>Jam</v>
          </cell>
        </row>
        <row r="499">
          <cell r="A499" t="str">
            <v>2.d.</v>
          </cell>
          <cell r="C499" t="str">
            <v>ASPHALT SPRAYER</v>
          </cell>
          <cell r="G499" t="str">
            <v>(E03)</v>
          </cell>
        </row>
        <row r="500">
          <cell r="C500" t="str">
            <v>Kapasitas alat</v>
          </cell>
          <cell r="G500" t="str">
            <v>V</v>
          </cell>
          <cell r="H500">
            <v>800</v>
          </cell>
          <cell r="I500" t="str">
            <v>liter</v>
          </cell>
        </row>
        <row r="501">
          <cell r="A501" t="str">
            <v>4.</v>
          </cell>
          <cell r="C501" t="str">
            <v>Faktor efisiensi alat</v>
          </cell>
          <cell r="G501" t="str">
            <v>Fa</v>
          </cell>
          <cell r="H501">
            <v>0.83</v>
          </cell>
          <cell r="I501" t="str">
            <v>-</v>
          </cell>
        </row>
        <row r="502">
          <cell r="C502" t="str">
            <v>Waktu Siklus (termasuk proses pemanasan)</v>
          </cell>
          <cell r="G502" t="str">
            <v>Ts3</v>
          </cell>
          <cell r="H502">
            <v>2</v>
          </cell>
          <cell r="I502" t="str">
            <v>Jam</v>
          </cell>
        </row>
        <row r="504">
          <cell r="A504" t="str">
            <v>5.</v>
          </cell>
          <cell r="C504" t="str">
            <v>Kap. Prod. / jam =</v>
          </cell>
          <cell r="D504" t="str">
            <v>V x Fa x D2</v>
          </cell>
          <cell r="G504" t="str">
            <v>Q4</v>
          </cell>
          <cell r="H504">
            <v>3.2242000000000002</v>
          </cell>
          <cell r="I504" t="str">
            <v>M3</v>
          </cell>
        </row>
        <row r="505">
          <cell r="C505" t="str">
            <v>Lihat perhitungan dalam FORMULIR STANDAR UNTUK</v>
          </cell>
          <cell r="D505" t="str">
            <v>Ts3 x (As)</v>
          </cell>
        </row>
        <row r="506">
          <cell r="C506" t="str">
            <v>Koefisien Alat / M3</v>
          </cell>
          <cell r="D506" t="str">
            <v xml:space="preserve"> =  1  :  Q4</v>
          </cell>
          <cell r="G506" t="str">
            <v>(E03)</v>
          </cell>
          <cell r="H506">
            <v>0.31019999999999998</v>
          </cell>
          <cell r="I506" t="str">
            <v>Jam</v>
          </cell>
        </row>
        <row r="507">
          <cell r="C507" t="str">
            <v>SATUAN.</v>
          </cell>
        </row>
        <row r="508">
          <cell r="C508" t="str">
            <v>Didapat Harga Satuan Pekerjaan :</v>
          </cell>
        </row>
        <row r="510">
          <cell r="C510" t="str">
            <v xml:space="preserve">Rp.  </v>
          </cell>
          <cell r="D510">
            <v>680866.65999999992</v>
          </cell>
          <cell r="E510" t="str">
            <v xml:space="preserve"> / M3.</v>
          </cell>
        </row>
        <row r="512">
          <cell r="C512" t="str">
            <v/>
          </cell>
        </row>
        <row r="513">
          <cell r="J513" t="str">
            <v>Berlanjut ke halaman berikut</v>
          </cell>
        </row>
        <row r="514">
          <cell r="A514" t="str">
            <v>ITEM PEMBAYARAN NO.</v>
          </cell>
          <cell r="D514" t="str">
            <v>:  6.6.1</v>
          </cell>
          <cell r="J514" t="str">
            <v>Analisa EI-661</v>
          </cell>
        </row>
        <row r="515">
          <cell r="A515" t="str">
            <v>JENIS PEKERJAAN</v>
          </cell>
          <cell r="D515" t="str">
            <v>:  Lapis Pen. Macadam Permukaan</v>
          </cell>
        </row>
        <row r="516">
          <cell r="A516" t="str">
            <v>SATUAN PEMBAYARAN</v>
          </cell>
          <cell r="D516" t="str">
            <v>:  M3</v>
          </cell>
          <cell r="H516" t="str">
            <v xml:space="preserve">         URAIAN ANALISA HARGA SATUAN</v>
          </cell>
        </row>
        <row r="517">
          <cell r="J517" t="str">
            <v>Lanjutan</v>
          </cell>
        </row>
        <row r="519">
          <cell r="A519" t="str">
            <v>No.</v>
          </cell>
          <cell r="C519" t="str">
            <v>U R A I A N</v>
          </cell>
          <cell r="G519" t="str">
            <v>KODE</v>
          </cell>
          <cell r="H519" t="str">
            <v>KOEF.</v>
          </cell>
          <cell r="I519" t="str">
            <v>SATUAN</v>
          </cell>
          <cell r="J519" t="str">
            <v>KETERANGAN</v>
          </cell>
        </row>
        <row r="522">
          <cell r="A522" t="str">
            <v>2.e.</v>
          </cell>
          <cell r="B522" t="str">
            <v/>
          </cell>
          <cell r="C522" t="str">
            <v>ALAT BANTU</v>
          </cell>
        </row>
        <row r="523">
          <cell r="C523" t="str">
            <v>diperlukan setiap  :</v>
          </cell>
          <cell r="D523">
            <v>75</v>
          </cell>
          <cell r="E523" t="str">
            <v>M3 pekerjaan</v>
          </cell>
          <cell r="J523" t="str">
            <v>Lump Sum</v>
          </cell>
        </row>
        <row r="524">
          <cell r="C524" t="str">
            <v>- Kereta dorong</v>
          </cell>
          <cell r="D524" t="str">
            <v>=  3  buah</v>
          </cell>
        </row>
        <row r="525">
          <cell r="C525" t="str">
            <v>- Sekop</v>
          </cell>
          <cell r="D525" t="str">
            <v>=  5  buah</v>
          </cell>
        </row>
        <row r="526">
          <cell r="C526" t="str">
            <v>- Sapu</v>
          </cell>
          <cell r="D526" t="str">
            <v>=  5  buah</v>
          </cell>
        </row>
        <row r="527">
          <cell r="C527" t="str">
            <v>- Sikat</v>
          </cell>
          <cell r="D527" t="str">
            <v>=  3  buah</v>
          </cell>
        </row>
        <row r="528">
          <cell r="C528" t="str">
            <v>- Karung</v>
          </cell>
          <cell r="D528" t="str">
            <v>=  5  buah</v>
          </cell>
        </row>
        <row r="529">
          <cell r="A529" t="str">
            <v>ITEM PEMBAYARAN NO.</v>
          </cell>
          <cell r="C529" t="str">
            <v>- Cerek Aspal</v>
          </cell>
          <cell r="D529" t="str">
            <v>=  3  buah</v>
          </cell>
          <cell r="J529" t="str">
            <v>Analisa EI-8.21</v>
          </cell>
        </row>
        <row r="530">
          <cell r="A530" t="str">
            <v>JENIS PEKERJAAN</v>
          </cell>
          <cell r="C530" t="str">
            <v>- Kaleng Aspal</v>
          </cell>
          <cell r="D530" t="str">
            <v>=  3  buah</v>
          </cell>
        </row>
        <row r="531">
          <cell r="A531" t="str">
            <v>SATUAN PEMBAYARAN</v>
          </cell>
          <cell r="D531" t="str">
            <v>:  M3</v>
          </cell>
          <cell r="H531" t="str">
            <v xml:space="preserve">         URAIAN ANALISA HARGA SATUAN</v>
          </cell>
        </row>
        <row r="532">
          <cell r="A532" t="str">
            <v xml:space="preserve">   3.</v>
          </cell>
          <cell r="C532" t="str">
            <v>TENAGA</v>
          </cell>
        </row>
        <row r="533">
          <cell r="C533" t="str">
            <v>Produksi menentukan (Produksi Thrre Wheel Roller)</v>
          </cell>
          <cell r="G533" t="str">
            <v>Q1</v>
          </cell>
          <cell r="H533">
            <v>21.787500000000001</v>
          </cell>
          <cell r="I533" t="str">
            <v>M3/Jam</v>
          </cell>
        </row>
        <row r="534">
          <cell r="A534" t="str">
            <v>No.</v>
          </cell>
          <cell r="C534" t="str">
            <v>Produksi Lapen / hari   =   Q1 x Tk</v>
          </cell>
          <cell r="G534" t="str">
            <v>Qt</v>
          </cell>
          <cell r="H534">
            <v>152.51249999999999</v>
          </cell>
          <cell r="I534" t="str">
            <v>M3</v>
          </cell>
          <cell r="J534" t="str">
            <v>KETERANGAN</v>
          </cell>
        </row>
        <row r="535">
          <cell r="C535" t="str">
            <v>Kebutuhan tenaga :</v>
          </cell>
        </row>
        <row r="536">
          <cell r="D536" t="str">
            <v>- Pekerja</v>
          </cell>
          <cell r="G536" t="str">
            <v>P</v>
          </cell>
          <cell r="H536">
            <v>100</v>
          </cell>
          <cell r="I536" t="str">
            <v>orang</v>
          </cell>
        </row>
        <row r="537">
          <cell r="A537" t="str">
            <v>I.</v>
          </cell>
          <cell r="C537" t="str">
            <v>ASUMSI</v>
          </cell>
          <cell r="D537" t="str">
            <v>- Mandor</v>
          </cell>
          <cell r="G537" t="str">
            <v>M</v>
          </cell>
          <cell r="H537">
            <v>3</v>
          </cell>
          <cell r="I537" t="str">
            <v>orang</v>
          </cell>
        </row>
        <row r="538">
          <cell r="A538">
            <v>1</v>
          </cell>
          <cell r="C538" t="str">
            <v>Menggunakan alat berat (cara mekanik)</v>
          </cell>
        </row>
        <row r="539">
          <cell r="A539">
            <v>2</v>
          </cell>
          <cell r="C539" t="str">
            <v>Koefisien Tenaga / M3     :</v>
          </cell>
        </row>
        <row r="540">
          <cell r="A540">
            <v>3</v>
          </cell>
          <cell r="C540" t="str">
            <v>Kondisi Jalan   :  sedang / baik</v>
          </cell>
          <cell r="D540" t="str">
            <v>- Pekerja</v>
          </cell>
          <cell r="E540" t="str">
            <v>= (Tk x P) / Qt</v>
          </cell>
          <cell r="G540" t="str">
            <v>(L01)</v>
          </cell>
          <cell r="H540">
            <v>4.5898000000000003</v>
          </cell>
          <cell r="I540" t="str">
            <v>Jam</v>
          </cell>
        </row>
        <row r="541">
          <cell r="A541">
            <v>4</v>
          </cell>
          <cell r="C541" t="str">
            <v>Jam kerja efektif per-hari</v>
          </cell>
          <cell r="D541" t="str">
            <v>- Mandor</v>
          </cell>
          <cell r="E541" t="str">
            <v>= (Tk x M) / Qt</v>
          </cell>
          <cell r="G541" t="str">
            <v>(L03)</v>
          </cell>
          <cell r="H541">
            <v>0.13769999999999999</v>
          </cell>
          <cell r="I541" t="str">
            <v>Jam</v>
          </cell>
        </row>
        <row r="542">
          <cell r="A542">
            <v>5</v>
          </cell>
          <cell r="C542" t="str">
            <v>Faktor pengembangan bahan</v>
          </cell>
          <cell r="G542" t="str">
            <v>Fk</v>
          </cell>
          <cell r="H542">
            <v>1.2</v>
          </cell>
          <cell r="I542" t="str">
            <v>-</v>
          </cell>
        </row>
        <row r="544">
          <cell r="A544" t="str">
            <v>4.</v>
          </cell>
          <cell r="C544" t="str">
            <v>HARGA DASAR SATUAN UPAH, BAHAN DAN ALAT</v>
          </cell>
        </row>
        <row r="545">
          <cell r="A545" t="str">
            <v>II.</v>
          </cell>
          <cell r="C545" t="str">
            <v>Lihat lampiran.</v>
          </cell>
        </row>
        <row r="546">
          <cell r="A546">
            <v>1</v>
          </cell>
          <cell r="C546" t="str">
            <v>Tanah yang dipotong umumnya berada disisi jalan</v>
          </cell>
        </row>
        <row r="547">
          <cell r="A547" t="str">
            <v>5.</v>
          </cell>
          <cell r="C547" t="str">
            <v>ANALISA HARGA SATUAN PEKERJAAN</v>
          </cell>
        </row>
        <row r="548">
          <cell r="A548">
            <v>3</v>
          </cell>
          <cell r="C548" t="str">
            <v>Lihat perhitungan dalam FORMULIR STANDAR UNTUK</v>
          </cell>
        </row>
        <row r="549">
          <cell r="C549" t="str">
            <v>PEREKEMAN ANALISA MASING-MASING HARGA</v>
          </cell>
        </row>
        <row r="550">
          <cell r="A550">
            <v>4</v>
          </cell>
          <cell r="C550" t="str">
            <v>SATUAN.</v>
          </cell>
        </row>
        <row r="551">
          <cell r="C551" t="str">
            <v>Didapat Harga Satuan Pekerjaan :</v>
          </cell>
          <cell r="G551" t="str">
            <v>L</v>
          </cell>
          <cell r="H551">
            <v>1</v>
          </cell>
          <cell r="I551" t="str">
            <v>Km</v>
          </cell>
        </row>
        <row r="553">
          <cell r="C553" t="str">
            <v xml:space="preserve">Rp.  </v>
          </cell>
          <cell r="D553">
            <v>668977.63984267134</v>
          </cell>
          <cell r="E553" t="str">
            <v xml:space="preserve"> / M3.</v>
          </cell>
        </row>
        <row r="554">
          <cell r="A554" t="str">
            <v>III.</v>
          </cell>
          <cell r="C554" t="str">
            <v>PEMAKAIAN BAHAN, ALAT DAN TENAGA</v>
          </cell>
        </row>
        <row r="556">
          <cell r="A556" t="str">
            <v xml:space="preserve">   1.</v>
          </cell>
          <cell r="C556" t="str">
            <v>BAHAN</v>
          </cell>
        </row>
        <row r="557">
          <cell r="C557" t="str">
            <v>Tidak ada bahan yang diperlukan</v>
          </cell>
        </row>
        <row r="559">
          <cell r="A559" t="str">
            <v xml:space="preserve">   2.</v>
          </cell>
          <cell r="C559" t="str">
            <v>ALAT</v>
          </cell>
        </row>
        <row r="560">
          <cell r="A560" t="str">
            <v xml:space="preserve">   2.a.</v>
          </cell>
          <cell r="C560" t="str">
            <v>EXCAVATOR</v>
          </cell>
          <cell r="G560" t="str">
            <v>(E10)</v>
          </cell>
        </row>
        <row r="561">
          <cell r="C561" t="str">
            <v>Kapasitas Bucket</v>
          </cell>
          <cell r="G561" t="str">
            <v>V</v>
          </cell>
          <cell r="H561">
            <v>0.5</v>
          </cell>
          <cell r="I561" t="str">
            <v>M3</v>
          </cell>
        </row>
        <row r="562">
          <cell r="C562" t="str">
            <v>Faktor Bucket</v>
          </cell>
          <cell r="G562" t="str">
            <v>Fb</v>
          </cell>
          <cell r="H562">
            <v>0.9</v>
          </cell>
          <cell r="I562" t="str">
            <v>-</v>
          </cell>
        </row>
        <row r="563">
          <cell r="C563" t="str">
            <v>Faktor  Efisiensi alat</v>
          </cell>
          <cell r="G563" t="str">
            <v>Fa</v>
          </cell>
          <cell r="H563">
            <v>0.83</v>
          </cell>
          <cell r="I563" t="str">
            <v>-</v>
          </cell>
        </row>
        <row r="564">
          <cell r="C564" t="str">
            <v>Faktor  material</v>
          </cell>
          <cell r="G564" t="str">
            <v>Fm</v>
          </cell>
          <cell r="H564" t="str">
            <v xml:space="preserve">  -  </v>
          </cell>
          <cell r="I564" t="str">
            <v>-</v>
          </cell>
        </row>
        <row r="565">
          <cell r="C565" t="str">
            <v>Waktu siklus</v>
          </cell>
          <cell r="G565" t="str">
            <v>Ts1</v>
          </cell>
          <cell r="I565" t="str">
            <v>menit</v>
          </cell>
        </row>
        <row r="566">
          <cell r="C566" t="str">
            <v>- Menggali / memuat</v>
          </cell>
          <cell r="G566" t="str">
            <v>T1</v>
          </cell>
          <cell r="H566">
            <v>0.35</v>
          </cell>
          <cell r="I566" t="str">
            <v>menit</v>
          </cell>
        </row>
        <row r="567">
          <cell r="C567" t="str">
            <v>- Lain-lain</v>
          </cell>
          <cell r="G567" t="str">
            <v>T2</v>
          </cell>
          <cell r="H567">
            <v>0.35</v>
          </cell>
          <cell r="I567" t="str">
            <v>menit</v>
          </cell>
        </row>
        <row r="568">
          <cell r="G568" t="str">
            <v>Ts1</v>
          </cell>
          <cell r="H568">
            <v>0.7</v>
          </cell>
          <cell r="I568" t="str">
            <v>menit</v>
          </cell>
        </row>
        <row r="570">
          <cell r="C570" t="str">
            <v>Kap. Prod. / jam =</v>
          </cell>
          <cell r="D570" t="str">
            <v>V  x Fb x Fa x Fm x 60</v>
          </cell>
          <cell r="G570" t="str">
            <v>Q1</v>
          </cell>
          <cell r="H570">
            <v>26.678599999999999</v>
          </cell>
          <cell r="I570" t="str">
            <v>M3  / jam</v>
          </cell>
        </row>
        <row r="571">
          <cell r="A571" t="str">
            <v>ITEM PEMBAYARAN NO.</v>
          </cell>
          <cell r="D571" t="str">
            <v>:  6.6.2</v>
          </cell>
          <cell r="J571" t="str">
            <v>Analisa EI-662</v>
          </cell>
        </row>
        <row r="572">
          <cell r="A572" t="str">
            <v>JENIS PEKERJAAN</v>
          </cell>
          <cell r="D572" t="str">
            <v>:  Lapis Pen. Macadam Perata</v>
          </cell>
        </row>
        <row r="573">
          <cell r="A573" t="str">
            <v>SATUAN PEMBAYARAN</v>
          </cell>
          <cell r="C573" t="str">
            <v>Koefisien Alat / M3</v>
          </cell>
          <cell r="D573" t="str">
            <v>:  M3</v>
          </cell>
          <cell r="G573" t="str">
            <v>(E10)</v>
          </cell>
          <cell r="H573" t="str">
            <v xml:space="preserve">         URAIAN ANALISA HARGA SATUAN</v>
          </cell>
          <cell r="I573" t="str">
            <v>Jam</v>
          </cell>
        </row>
        <row r="575">
          <cell r="A575" t="str">
            <v xml:space="preserve">   2.b.</v>
          </cell>
          <cell r="C575" t="str">
            <v>DUMP TRUCK</v>
          </cell>
          <cell r="G575" t="str">
            <v>(E08)</v>
          </cell>
        </row>
        <row r="576">
          <cell r="A576" t="str">
            <v>No.</v>
          </cell>
          <cell r="C576" t="str">
            <v>U R A I A N</v>
          </cell>
          <cell r="G576" t="str">
            <v>KODE</v>
          </cell>
          <cell r="H576" t="str">
            <v>KOEF.</v>
          </cell>
          <cell r="I576" t="str">
            <v>SATUAN</v>
          </cell>
          <cell r="J576" t="str">
            <v>KETERANGAN</v>
          </cell>
        </row>
        <row r="577">
          <cell r="C577" t="str">
            <v>Faktor  efisiensi alat</v>
          </cell>
          <cell r="G577" t="str">
            <v>Fa</v>
          </cell>
          <cell r="H577">
            <v>0.83</v>
          </cell>
        </row>
        <row r="578">
          <cell r="C578" t="str">
            <v>Kecepatan rata-rata bermuatan</v>
          </cell>
          <cell r="G578" t="str">
            <v>v1</v>
          </cell>
          <cell r="H578">
            <v>40</v>
          </cell>
          <cell r="I578" t="str">
            <v>Km/Jam</v>
          </cell>
        </row>
        <row r="579">
          <cell r="A579" t="str">
            <v>I.</v>
          </cell>
          <cell r="C579" t="str">
            <v>ASUMSI</v>
          </cell>
          <cell r="G579" t="str">
            <v>v2</v>
          </cell>
          <cell r="H579">
            <v>60</v>
          </cell>
          <cell r="I579" t="str">
            <v>Km/Jam</v>
          </cell>
        </row>
        <row r="580">
          <cell r="A580">
            <v>1</v>
          </cell>
          <cell r="C580" t="str">
            <v>Menggunakan alat berat (cara mekanik)</v>
          </cell>
          <cell r="G580" t="str">
            <v>Ts2</v>
          </cell>
          <cell r="I580" t="str">
            <v>menit</v>
          </cell>
        </row>
        <row r="581">
          <cell r="A581">
            <v>2</v>
          </cell>
          <cell r="C581" t="str">
            <v>Lokasi pekerjaan : sepanjang jalan</v>
          </cell>
          <cell r="E581" t="str">
            <v>=   (L  :  v1)  x  60</v>
          </cell>
          <cell r="G581" t="str">
            <v>T1</v>
          </cell>
          <cell r="H581">
            <v>1.5</v>
          </cell>
          <cell r="I581" t="str">
            <v>menit</v>
          </cell>
        </row>
        <row r="582">
          <cell r="A582">
            <v>3</v>
          </cell>
          <cell r="C582" t="str">
            <v>Kondisi existing jalan : sedang</v>
          </cell>
          <cell r="E582" t="str">
            <v>=   (L  :  v2)  x  60</v>
          </cell>
          <cell r="G582" t="str">
            <v>T2</v>
          </cell>
          <cell r="H582">
            <v>1</v>
          </cell>
          <cell r="I582" t="str">
            <v>menit</v>
          </cell>
        </row>
        <row r="583">
          <cell r="A583">
            <v>4</v>
          </cell>
          <cell r="C583" t="str">
            <v>Jarak rata-rata Base Camp ke lokasi pekerjaan</v>
          </cell>
          <cell r="E583" t="str">
            <v>=   (v  : Q1)  x  60</v>
          </cell>
          <cell r="G583" t="str">
            <v>L</v>
          </cell>
          <cell r="H583">
            <v>1</v>
          </cell>
          <cell r="I583" t="str">
            <v>KM</v>
          </cell>
        </row>
        <row r="584">
          <cell r="A584">
            <v>5</v>
          </cell>
          <cell r="C584" t="str">
            <v>Tebal rata2 Lapen</v>
          </cell>
          <cell r="G584" t="str">
            <v>t</v>
          </cell>
          <cell r="H584">
            <v>0.04</v>
          </cell>
          <cell r="I584" t="str">
            <v>M</v>
          </cell>
        </row>
        <row r="585">
          <cell r="A585">
            <v>6</v>
          </cell>
          <cell r="C585" t="str">
            <v>Jam kerja efektif per-hari</v>
          </cell>
          <cell r="G585" t="str">
            <v>Tk</v>
          </cell>
          <cell r="H585">
            <v>7</v>
          </cell>
          <cell r="I585" t="str">
            <v>Jam</v>
          </cell>
        </row>
        <row r="586">
          <cell r="A586">
            <v>7</v>
          </cell>
          <cell r="C586" t="str">
            <v>Faktor kehilanganmaterial :</v>
          </cell>
          <cell r="E586" t="str">
            <v>- Agregat</v>
          </cell>
          <cell r="G586" t="str">
            <v>Fh1</v>
          </cell>
          <cell r="H586">
            <v>1.1000000000000001</v>
          </cell>
          <cell r="I586" t="str">
            <v>-</v>
          </cell>
          <cell r="J586" t="str">
            <v>Berlanjut ke halaman berikut</v>
          </cell>
        </row>
        <row r="587">
          <cell r="A587" t="str">
            <v/>
          </cell>
          <cell r="D587" t="str">
            <v>:  8.2(1)</v>
          </cell>
          <cell r="E587" t="str">
            <v>- Aspal</v>
          </cell>
          <cell r="G587" t="str">
            <v>Fh2</v>
          </cell>
          <cell r="H587">
            <v>1.05</v>
          </cell>
          <cell r="I587" t="str">
            <v>-</v>
          </cell>
          <cell r="J587" t="str">
            <v>Analisa EI-8.21</v>
          </cell>
        </row>
        <row r="588">
          <cell r="A588">
            <v>8</v>
          </cell>
          <cell r="C588" t="str">
            <v>Komposisi campuran Lapen (spesifikasi)  :</v>
          </cell>
          <cell r="D588" t="str">
            <v>:  Galian Utk.Bahu &amp; Pek. Lainnya ,Rutin</v>
          </cell>
        </row>
        <row r="589">
          <cell r="A589" t="str">
            <v>SATUAN PEMBAYARAN</v>
          </cell>
          <cell r="C589" t="str">
            <v>- Agregat Pokok</v>
          </cell>
          <cell r="D589" t="str">
            <v>:  M3</v>
          </cell>
          <cell r="G589" t="str">
            <v>Ak</v>
          </cell>
          <cell r="H589">
            <v>114</v>
          </cell>
          <cell r="I589" t="str">
            <v>Kg/M2</v>
          </cell>
          <cell r="J589" t="str">
            <v xml:space="preserve"> Tabel 6.6.4.</v>
          </cell>
        </row>
        <row r="590">
          <cell r="C590" t="str">
            <v>- Agregat Pengunci</v>
          </cell>
          <cell r="G590" t="str">
            <v>Ap1</v>
          </cell>
          <cell r="H590">
            <v>25</v>
          </cell>
          <cell r="I590" t="str">
            <v>Kg/M2</v>
          </cell>
          <cell r="J590" t="str">
            <v xml:space="preserve"> Tabel 6.6.4.</v>
          </cell>
        </row>
        <row r="592">
          <cell r="A592" t="str">
            <v>No.</v>
          </cell>
          <cell r="C592" t="str">
            <v>- Aspal                  :</v>
          </cell>
          <cell r="D592" t="str">
            <v>- Paska Agregat Pokok</v>
          </cell>
          <cell r="G592" t="str">
            <v>As1</v>
          </cell>
          <cell r="H592">
            <v>4.4000000000000004</v>
          </cell>
          <cell r="I592" t="str">
            <v>Kg/M2</v>
          </cell>
          <cell r="J592" t="str">
            <v xml:space="preserve"> Tabel 6.6.4.</v>
          </cell>
        </row>
        <row r="593">
          <cell r="G593" t="str">
            <v>As</v>
          </cell>
          <cell r="H593">
            <v>110</v>
          </cell>
          <cell r="I593" t="str">
            <v>Kg/M3</v>
          </cell>
        </row>
        <row r="595">
          <cell r="A595">
            <v>9</v>
          </cell>
          <cell r="C595" t="str">
            <v>Berat jenis bahan  :</v>
          </cell>
          <cell r="E595" t="str">
            <v>V x Fa x 60</v>
          </cell>
          <cell r="G595" t="str">
            <v>Q2</v>
          </cell>
          <cell r="H595">
            <v>13.837899999999999</v>
          </cell>
          <cell r="I595" t="str">
            <v xml:space="preserve">M3 / Jam </v>
          </cell>
        </row>
        <row r="596">
          <cell r="C596" t="str">
            <v>- Agregat</v>
          </cell>
          <cell r="E596" t="str">
            <v xml:space="preserve">    Fk x Ts</v>
          </cell>
          <cell r="G596" t="str">
            <v>D1</v>
          </cell>
          <cell r="H596">
            <v>2</v>
          </cell>
          <cell r="I596" t="str">
            <v>ton / M3</v>
          </cell>
        </row>
        <row r="597">
          <cell r="C597" t="str">
            <v>- Aspal</v>
          </cell>
          <cell r="G597" t="str">
            <v>D2</v>
          </cell>
          <cell r="H597">
            <v>1.01</v>
          </cell>
          <cell r="I597" t="str">
            <v>ton / M3</v>
          </cell>
        </row>
        <row r="599">
          <cell r="A599" t="str">
            <v>II.</v>
          </cell>
          <cell r="C599" t="str">
            <v>URUTAN KERJA</v>
          </cell>
          <cell r="D599" t="str">
            <v xml:space="preserve"> =  1  :  Q2</v>
          </cell>
          <cell r="G599" t="str">
            <v>(E08)</v>
          </cell>
          <cell r="H599">
            <v>7.2300000000000003E-2</v>
          </cell>
          <cell r="I599" t="str">
            <v>jam</v>
          </cell>
        </row>
        <row r="600">
          <cell r="A600">
            <v>1</v>
          </cell>
          <cell r="C600" t="str">
            <v>Permukaan dasar dibersihkan dan disemprot aspal cair</v>
          </cell>
        </row>
        <row r="601">
          <cell r="A601">
            <v>2</v>
          </cell>
          <cell r="C601" t="str">
            <v>Agregat kasar dimuat ke dalam Dump Truck menggunakan Wheel</v>
          </cell>
        </row>
        <row r="602">
          <cell r="A602" t="str">
            <v>2.c.</v>
          </cell>
          <cell r="C602" t="str">
            <v>Loader (di Base Camp)</v>
          </cell>
        </row>
        <row r="603">
          <cell r="A603">
            <v>3</v>
          </cell>
          <cell r="C603" t="str">
            <v>Agregat Kasar ditebarkan (manual) sesuai tebal yang diperlukan dan</v>
          </cell>
          <cell r="J603" t="str">
            <v>Lump Sum</v>
          </cell>
        </row>
        <row r="604">
          <cell r="C604" t="str">
            <v>dipadatkan dengan TW Roller (6-8 ton) minimum 6 lintasan</v>
          </cell>
        </row>
        <row r="605">
          <cell r="A605">
            <v>4</v>
          </cell>
          <cell r="C605" t="str">
            <v>Aspal disemprotkan di atas agregat kasar yang telah</v>
          </cell>
        </row>
        <row r="606">
          <cell r="C606" t="str">
            <v>diratakan menggunakan Aspal Sprayer (merata)</v>
          </cell>
        </row>
        <row r="607">
          <cell r="A607">
            <v>5</v>
          </cell>
          <cell r="C607" t="str">
            <v>Agregat Pengunci ditebarkan dan dipadatkan dengan</v>
          </cell>
        </row>
        <row r="608">
          <cell r="A608" t="str">
            <v/>
          </cell>
          <cell r="C608" t="str">
            <v>cara yang sama dengan pemadatan agregat kasar</v>
          </cell>
          <cell r="G608" t="str">
            <v>Q1</v>
          </cell>
          <cell r="H608">
            <v>26.678599999999999</v>
          </cell>
          <cell r="I608" t="str">
            <v>M3  / jam</v>
          </cell>
        </row>
        <row r="609">
          <cell r="C609" t="str">
            <v xml:space="preserve">Produksi Galian / hari  =  </v>
          </cell>
          <cell r="G609" t="str">
            <v>Qt</v>
          </cell>
          <cell r="H609">
            <v>186.75020000000001</v>
          </cell>
          <cell r="I609" t="str">
            <v>M3</v>
          </cell>
        </row>
        <row r="610">
          <cell r="A610" t="str">
            <v>III.</v>
          </cell>
          <cell r="C610" t="str">
            <v>PEMAKAIAN BAHAN, ALAT DAN TENAGA</v>
          </cell>
        </row>
        <row r="611">
          <cell r="D611" t="str">
            <v>- Pekerja</v>
          </cell>
          <cell r="G611" t="str">
            <v>P</v>
          </cell>
          <cell r="H611">
            <v>3</v>
          </cell>
          <cell r="I611" t="str">
            <v>orang</v>
          </cell>
        </row>
        <row r="612">
          <cell r="A612" t="str">
            <v xml:space="preserve">   1.</v>
          </cell>
          <cell r="C612" t="str">
            <v>BAHAN</v>
          </cell>
          <cell r="D612" t="str">
            <v>- Mandor</v>
          </cell>
          <cell r="G612" t="str">
            <v>M</v>
          </cell>
          <cell r="H612">
            <v>1</v>
          </cell>
          <cell r="I612" t="str">
            <v>orang</v>
          </cell>
        </row>
        <row r="613">
          <cell r="A613" t="str">
            <v>1.a.</v>
          </cell>
          <cell r="C613" t="str">
            <v>Agregat Kasar</v>
          </cell>
          <cell r="D613" t="str">
            <v>=  {(Ak/1000 : t M3) x Fh1} : D1</v>
          </cell>
          <cell r="G613" t="str">
            <v>(M03a)</v>
          </cell>
          <cell r="H613">
            <v>1.5674999999999999</v>
          </cell>
          <cell r="I613" t="str">
            <v>M3</v>
          </cell>
        </row>
        <row r="614">
          <cell r="A614" t="str">
            <v>1.b.</v>
          </cell>
          <cell r="C614" t="str">
            <v>Agregat Pengunci</v>
          </cell>
          <cell r="D614" t="str">
            <v>=  {(Ap1/1000 : t M3) x Fh1} : D1</v>
          </cell>
          <cell r="G614" t="str">
            <v>(M04a)</v>
          </cell>
          <cell r="H614">
            <v>0.34379999999999999</v>
          </cell>
          <cell r="I614" t="str">
            <v>M3</v>
          </cell>
        </row>
        <row r="615">
          <cell r="A615" t="str">
            <v>1.c.</v>
          </cell>
          <cell r="C615" t="str">
            <v>Aspal</v>
          </cell>
          <cell r="D615" t="str">
            <v>=  {((As1) : t M3) x Fh2}</v>
          </cell>
          <cell r="E615" t="str">
            <v>= (Tk x P) : Qt</v>
          </cell>
          <cell r="G615" t="str">
            <v>(M10)</v>
          </cell>
          <cell r="H615">
            <v>115.5</v>
          </cell>
          <cell r="I615" t="str">
            <v>Kg</v>
          </cell>
        </row>
        <row r="616">
          <cell r="D616" t="str">
            <v>- Mandor</v>
          </cell>
          <cell r="E616" t="str">
            <v>= (Tk x M) : Qt</v>
          </cell>
          <cell r="G616" t="str">
            <v>(L03)</v>
          </cell>
          <cell r="H616">
            <v>3.7499999999999999E-2</v>
          </cell>
          <cell r="I616" t="str">
            <v>jam</v>
          </cell>
        </row>
        <row r="617">
          <cell r="A617" t="str">
            <v>2.</v>
          </cell>
          <cell r="C617" t="str">
            <v>ALAT</v>
          </cell>
        </row>
        <row r="618">
          <cell r="A618" t="str">
            <v>2.a.</v>
          </cell>
          <cell r="C618" t="str">
            <v>WHEEL LOADER</v>
          </cell>
          <cell r="G618" t="str">
            <v>(E15)</v>
          </cell>
        </row>
        <row r="619">
          <cell r="C619" t="str">
            <v>Kapasitas bucket</v>
          </cell>
          <cell r="G619" t="str">
            <v>V</v>
          </cell>
          <cell r="H619">
            <v>0</v>
          </cell>
          <cell r="I619" t="str">
            <v>M3</v>
          </cell>
        </row>
        <row r="620">
          <cell r="C620" t="str">
            <v>Faktor bucket</v>
          </cell>
          <cell r="G620" t="str">
            <v>Fb</v>
          </cell>
          <cell r="H620">
            <v>0</v>
          </cell>
          <cell r="I620" t="str">
            <v>-</v>
          </cell>
        </row>
        <row r="621">
          <cell r="A621" t="str">
            <v>5.</v>
          </cell>
          <cell r="C621" t="str">
            <v>Faktor efisiensi alat</v>
          </cell>
          <cell r="G621" t="str">
            <v>Fa</v>
          </cell>
          <cell r="H621">
            <v>0</v>
          </cell>
          <cell r="I621" t="str">
            <v>-</v>
          </cell>
        </row>
        <row r="622">
          <cell r="C622" t="str">
            <v>Waktu Siklus</v>
          </cell>
          <cell r="G622" t="str">
            <v>Ts1</v>
          </cell>
        </row>
        <row r="623">
          <cell r="C623" t="str">
            <v>- Memuat, menuang, kembali</v>
          </cell>
          <cell r="G623" t="str">
            <v>T1</v>
          </cell>
          <cell r="H623">
            <v>0</v>
          </cell>
          <cell r="I623" t="str">
            <v>menit</v>
          </cell>
        </row>
        <row r="624">
          <cell r="C624" t="str">
            <v>- Menunggu, dan lain lain</v>
          </cell>
          <cell r="G624" t="str">
            <v>T2</v>
          </cell>
          <cell r="H624">
            <v>0</v>
          </cell>
          <cell r="I624" t="str">
            <v>menit</v>
          </cell>
        </row>
        <row r="625">
          <cell r="C625" t="str">
            <v>Didapat Harga Satuan Pekerjaan :</v>
          </cell>
          <cell r="G625" t="str">
            <v>Ts1</v>
          </cell>
          <cell r="H625">
            <v>0</v>
          </cell>
          <cell r="I625" t="str">
            <v>menit</v>
          </cell>
        </row>
        <row r="627">
          <cell r="C627" t="str">
            <v xml:space="preserve">Rp.  </v>
          </cell>
          <cell r="D627">
            <v>17465.060000000001</v>
          </cell>
          <cell r="E627" t="str">
            <v xml:space="preserve"> / M3</v>
          </cell>
          <cell r="J627" t="str">
            <v>Berlanjut ke halaman berikut</v>
          </cell>
        </row>
        <row r="628">
          <cell r="A628" t="str">
            <v>ITEM PEMBAYARAN NO.</v>
          </cell>
          <cell r="D628" t="str">
            <v>:  6.6.2</v>
          </cell>
          <cell r="J628" t="str">
            <v>Analisa EI-662</v>
          </cell>
        </row>
        <row r="629">
          <cell r="A629" t="str">
            <v>JENIS PEKERJAAN</v>
          </cell>
          <cell r="D629" t="str">
            <v>:  Lapis Pen. Macadam Perata</v>
          </cell>
        </row>
        <row r="630">
          <cell r="A630" t="str">
            <v>SATUAN PEMBAYARAN</v>
          </cell>
          <cell r="D630" t="str">
            <v>:  M3</v>
          </cell>
          <cell r="H630" t="str">
            <v xml:space="preserve">         URAIAN ANALISA HARGA SATUAN</v>
          </cell>
        </row>
        <row r="631">
          <cell r="J631" t="str">
            <v>Lanjutan</v>
          </cell>
        </row>
        <row r="633">
          <cell r="A633" t="str">
            <v>No.</v>
          </cell>
          <cell r="C633" t="str">
            <v>U R A I A N</v>
          </cell>
          <cell r="G633" t="str">
            <v>KODE</v>
          </cell>
          <cell r="H633" t="str">
            <v>KOEF.</v>
          </cell>
          <cell r="I633" t="str">
            <v>SATUAN</v>
          </cell>
          <cell r="J633" t="str">
            <v>KETERANGAN</v>
          </cell>
        </row>
        <row r="636">
          <cell r="C636" t="str">
            <v xml:space="preserve">Kap. Prod. / jam = </v>
          </cell>
          <cell r="D636" t="str">
            <v>V x Fb x Fa x 60</v>
          </cell>
          <cell r="G636" t="str">
            <v>Q1</v>
          </cell>
          <cell r="H636">
            <v>0</v>
          </cell>
          <cell r="I636" t="str">
            <v>M3</v>
          </cell>
          <cell r="J636" t="str">
            <v/>
          </cell>
        </row>
        <row r="637">
          <cell r="D637" t="str">
            <v>Ts1</v>
          </cell>
        </row>
        <row r="639">
          <cell r="C639" t="str">
            <v>Koefisien Alat/M3</v>
          </cell>
          <cell r="D639" t="str">
            <v xml:space="preserve"> = 1 : Q1</v>
          </cell>
          <cell r="G639" t="str">
            <v>(E15)</v>
          </cell>
          <cell r="H639">
            <v>0</v>
          </cell>
          <cell r="I639" t="str">
            <v>Jam</v>
          </cell>
        </row>
        <row r="641">
          <cell r="A641" t="str">
            <v>2.b.</v>
          </cell>
          <cell r="C641" t="str">
            <v>DUMP TRUCK (DT)</v>
          </cell>
          <cell r="G641" t="str">
            <v>(E09)</v>
          </cell>
        </row>
        <row r="642">
          <cell r="C642" t="str">
            <v>Kapasitas bak</v>
          </cell>
          <cell r="G642" t="str">
            <v>V</v>
          </cell>
          <cell r="H642">
            <v>6</v>
          </cell>
          <cell r="I642" t="str">
            <v>M3</v>
          </cell>
        </row>
        <row r="643">
          <cell r="C643" t="str">
            <v>Faktor Efisiensi alat</v>
          </cell>
          <cell r="G643" t="str">
            <v>Fa</v>
          </cell>
          <cell r="H643">
            <v>0.83</v>
          </cell>
          <cell r="I643" t="str">
            <v>-</v>
          </cell>
        </row>
        <row r="644">
          <cell r="C644" t="str">
            <v>Kecepatan rata-rata bermuatan</v>
          </cell>
          <cell r="G644" t="str">
            <v>v1</v>
          </cell>
          <cell r="H644">
            <v>40</v>
          </cell>
          <cell r="I644" t="str">
            <v>KM / Jam</v>
          </cell>
        </row>
        <row r="645">
          <cell r="C645" t="str">
            <v>Kecepatan rata-rata kosong</v>
          </cell>
          <cell r="G645" t="str">
            <v>v2</v>
          </cell>
          <cell r="H645">
            <v>50</v>
          </cell>
          <cell r="I645" t="str">
            <v>KM / Jam</v>
          </cell>
        </row>
        <row r="648">
          <cell r="C648" t="str">
            <v>Waktu Siklus</v>
          </cell>
          <cell r="G648" t="str">
            <v>Ts2</v>
          </cell>
        </row>
        <row r="649">
          <cell r="C649" t="str">
            <v xml:space="preserve">- Mengisi Bak </v>
          </cell>
          <cell r="G649" t="str">
            <v>T1</v>
          </cell>
          <cell r="H649">
            <v>0</v>
          </cell>
          <cell r="I649" t="str">
            <v>menit</v>
          </cell>
        </row>
        <row r="650">
          <cell r="C650" t="str">
            <v>- Angkut</v>
          </cell>
          <cell r="D650" t="str">
            <v>= (L : v1) x 60 menit</v>
          </cell>
          <cell r="G650" t="str">
            <v>T2</v>
          </cell>
          <cell r="H650">
            <v>1.5</v>
          </cell>
          <cell r="I650" t="str">
            <v>menit</v>
          </cell>
        </row>
        <row r="651">
          <cell r="C651" t="str">
            <v>- Tunggu + dump + Putar</v>
          </cell>
          <cell r="G651" t="str">
            <v>T3</v>
          </cell>
          <cell r="H651">
            <v>10</v>
          </cell>
          <cell r="I651" t="str">
            <v>menit</v>
          </cell>
        </row>
        <row r="652">
          <cell r="C652" t="str">
            <v>- Kembali</v>
          </cell>
          <cell r="D652" t="str">
            <v>= (L : v2) x 60 menit</v>
          </cell>
          <cell r="G652" t="str">
            <v>T4</v>
          </cell>
          <cell r="H652">
            <v>1.2</v>
          </cell>
          <cell r="I652" t="str">
            <v>menit</v>
          </cell>
        </row>
        <row r="653">
          <cell r="G653" t="str">
            <v>Ts2</v>
          </cell>
          <cell r="H653">
            <v>12.7</v>
          </cell>
          <cell r="I653" t="str">
            <v>menit</v>
          </cell>
        </row>
        <row r="655">
          <cell r="C655" t="str">
            <v>Kap.Prod. / jam =</v>
          </cell>
          <cell r="D655" t="str">
            <v>V x Fa x 60</v>
          </cell>
          <cell r="G655" t="str">
            <v>Q2</v>
          </cell>
          <cell r="H655">
            <v>23.5276</v>
          </cell>
          <cell r="I655" t="str">
            <v>M3</v>
          </cell>
        </row>
        <row r="656">
          <cell r="D656" t="str">
            <v>Ts2</v>
          </cell>
        </row>
        <row r="658">
          <cell r="C658" t="str">
            <v>Koefisien Alat / M3 = 1 : Q2</v>
          </cell>
          <cell r="D658" t="str">
            <v>= 1 : Q2</v>
          </cell>
          <cell r="G658" t="str">
            <v>(E09)</v>
          </cell>
          <cell r="H658">
            <v>4.2500000000000003E-2</v>
          </cell>
          <cell r="I658" t="str">
            <v>Jam</v>
          </cell>
        </row>
        <row r="660">
          <cell r="A660" t="str">
            <v>2.c.</v>
          </cell>
          <cell r="C660" t="str">
            <v>THREE WHEEL ROLLER</v>
          </cell>
          <cell r="G660" t="str">
            <v>(E16)</v>
          </cell>
        </row>
        <row r="661">
          <cell r="C661" t="str">
            <v>Kecepatan rata-rata alat</v>
          </cell>
          <cell r="G661" t="str">
            <v>v</v>
          </cell>
          <cell r="H661">
            <v>3.5</v>
          </cell>
          <cell r="I661" t="str">
            <v>Km / Jam</v>
          </cell>
        </row>
        <row r="662">
          <cell r="C662" t="str">
            <v>Lebar efektif pemadatan</v>
          </cell>
          <cell r="G662" t="str">
            <v>b</v>
          </cell>
          <cell r="H662">
            <v>1.2</v>
          </cell>
          <cell r="I662" t="str">
            <v>M</v>
          </cell>
        </row>
        <row r="663">
          <cell r="C663" t="str">
            <v>Jumlah lintasan</v>
          </cell>
          <cell r="G663" t="str">
            <v>n</v>
          </cell>
          <cell r="H663">
            <v>8</v>
          </cell>
          <cell r="I663" t="str">
            <v>lintasan</v>
          </cell>
          <cell r="J663" t="str">
            <v>4 Awal &amp; 4 Akhir</v>
          </cell>
        </row>
        <row r="664">
          <cell r="C664" t="str">
            <v>Faktor Efisiensi alat</v>
          </cell>
          <cell r="G664" t="str">
            <v>Fa</v>
          </cell>
          <cell r="H664">
            <v>0.83</v>
          </cell>
          <cell r="I664" t="str">
            <v>-</v>
          </cell>
        </row>
        <row r="666">
          <cell r="C666" t="str">
            <v xml:space="preserve">Kap. Prod. / jam = </v>
          </cell>
          <cell r="D666" t="str">
            <v>(v x 1000) x b x t x Fa</v>
          </cell>
          <cell r="G666" t="str">
            <v>Q3</v>
          </cell>
          <cell r="H666">
            <v>17.43</v>
          </cell>
          <cell r="I666" t="str">
            <v>M3</v>
          </cell>
        </row>
        <row r="667">
          <cell r="D667" t="str">
            <v>n</v>
          </cell>
        </row>
        <row r="668">
          <cell r="C668" t="str">
            <v>Koefisien Alat / M3</v>
          </cell>
          <cell r="D668" t="str">
            <v xml:space="preserve"> =  1  :  Q3</v>
          </cell>
          <cell r="G668" t="str">
            <v>(E16)</v>
          </cell>
          <cell r="H668">
            <v>5.74E-2</v>
          </cell>
          <cell r="I668" t="str">
            <v>Jam</v>
          </cell>
        </row>
        <row r="670">
          <cell r="A670" t="str">
            <v>2.d.</v>
          </cell>
          <cell r="C670" t="str">
            <v>ASPHALT SPRAYER</v>
          </cell>
          <cell r="G670" t="str">
            <v>(E03)</v>
          </cell>
        </row>
        <row r="671">
          <cell r="C671" t="str">
            <v>Kapasitas alat</v>
          </cell>
          <cell r="G671" t="str">
            <v>V</v>
          </cell>
          <cell r="H671">
            <v>800</v>
          </cell>
          <cell r="I671" t="str">
            <v>liter</v>
          </cell>
        </row>
        <row r="672">
          <cell r="C672" t="str">
            <v>Faktor efisiensi alat</v>
          </cell>
          <cell r="G672" t="str">
            <v>Fa</v>
          </cell>
          <cell r="H672">
            <v>0.83</v>
          </cell>
          <cell r="I672" t="str">
            <v>-</v>
          </cell>
        </row>
        <row r="673">
          <cell r="C673" t="str">
            <v>Waktu Siklus (termasuk proses pemanasan)</v>
          </cell>
          <cell r="G673" t="str">
            <v>Ts3</v>
          </cell>
          <cell r="H673">
            <v>2</v>
          </cell>
          <cell r="I673" t="str">
            <v>Jam</v>
          </cell>
        </row>
        <row r="675">
          <cell r="C675" t="str">
            <v>Kap. Prod. / jam =</v>
          </cell>
          <cell r="D675" t="str">
            <v>V x Fa x D2</v>
          </cell>
          <cell r="G675" t="str">
            <v>Q4</v>
          </cell>
          <cell r="H675">
            <v>3.0484</v>
          </cell>
          <cell r="I675" t="str">
            <v>M3</v>
          </cell>
        </row>
        <row r="676">
          <cell r="D676" t="str">
            <v>Ts3 x As</v>
          </cell>
        </row>
        <row r="677">
          <cell r="C677" t="str">
            <v>Koefisien Alat / M3</v>
          </cell>
          <cell r="D677" t="str">
            <v xml:space="preserve"> =  1  :  Q4</v>
          </cell>
          <cell r="G677" t="str">
            <v>(E03)</v>
          </cell>
          <cell r="H677">
            <v>0.32800000000000001</v>
          </cell>
          <cell r="I677" t="str">
            <v>Jam</v>
          </cell>
        </row>
        <row r="683">
          <cell r="C683" t="str">
            <v/>
          </cell>
        </row>
        <row r="684">
          <cell r="J684" t="str">
            <v>Berlanjut ke halaman berikut</v>
          </cell>
        </row>
        <row r="685">
          <cell r="A685" t="str">
            <v>ITEM PEMBAYARAN NO.</v>
          </cell>
          <cell r="D685" t="str">
            <v>:  6.6.2</v>
          </cell>
          <cell r="J685" t="str">
            <v>Analisa EI-662</v>
          </cell>
        </row>
        <row r="686">
          <cell r="A686" t="str">
            <v>JENIS PEKERJAAN</v>
          </cell>
          <cell r="D686" t="str">
            <v>:  Lapis Pen. Macadam Perata</v>
          </cell>
        </row>
        <row r="687">
          <cell r="A687" t="str">
            <v>SATUAN PEMBAYARAN</v>
          </cell>
          <cell r="D687" t="str">
            <v>:  M3</v>
          </cell>
          <cell r="H687" t="str">
            <v xml:space="preserve">         URAIAN ANALISA HARGA SATUAN</v>
          </cell>
        </row>
        <row r="688">
          <cell r="J688" t="str">
            <v>Lanjutan</v>
          </cell>
        </row>
        <row r="690">
          <cell r="A690" t="str">
            <v>No.</v>
          </cell>
          <cell r="C690" t="str">
            <v>U R A I A N</v>
          </cell>
          <cell r="G690" t="str">
            <v>KODE</v>
          </cell>
          <cell r="H690" t="str">
            <v>KOEF.</v>
          </cell>
          <cell r="I690" t="str">
            <v>SATUAN</v>
          </cell>
          <cell r="J690" t="str">
            <v>KETERANGAN</v>
          </cell>
        </row>
        <row r="693">
          <cell r="A693" t="str">
            <v>2.e.</v>
          </cell>
          <cell r="B693" t="str">
            <v/>
          </cell>
          <cell r="C693" t="str">
            <v>ALAT BANTU</v>
          </cell>
        </row>
        <row r="694">
          <cell r="C694" t="str">
            <v>diperlukan setiap  :</v>
          </cell>
          <cell r="D694">
            <v>75</v>
          </cell>
          <cell r="E694" t="str">
            <v>M3 pekerjaan</v>
          </cell>
          <cell r="J694" t="str">
            <v>Lump Sum</v>
          </cell>
        </row>
        <row r="695">
          <cell r="C695" t="str">
            <v>- Kereta dorong</v>
          </cell>
          <cell r="D695" t="str">
            <v>=  3  buah</v>
          </cell>
        </row>
        <row r="696">
          <cell r="C696" t="str">
            <v>- Sekop</v>
          </cell>
          <cell r="D696" t="str">
            <v>=  5  buah</v>
          </cell>
        </row>
        <row r="697">
          <cell r="C697" t="str">
            <v>- Sapu</v>
          </cell>
          <cell r="D697" t="str">
            <v>=  5  buah</v>
          </cell>
        </row>
        <row r="698">
          <cell r="C698" t="str">
            <v>- Sikat</v>
          </cell>
          <cell r="D698" t="str">
            <v>=  3  buah</v>
          </cell>
        </row>
        <row r="699">
          <cell r="C699" t="str">
            <v>- Karung</v>
          </cell>
          <cell r="D699" t="str">
            <v>=  5  buah</v>
          </cell>
        </row>
        <row r="700">
          <cell r="C700" t="str">
            <v>- Cerek Aspal</v>
          </cell>
          <cell r="D700" t="str">
            <v>=  3  buah</v>
          </cell>
        </row>
        <row r="701">
          <cell r="C701" t="str">
            <v>- Kaleng Aspal</v>
          </cell>
          <cell r="D701" t="str">
            <v>=  3  buah</v>
          </cell>
        </row>
        <row r="703">
          <cell r="A703" t="str">
            <v xml:space="preserve">   3.</v>
          </cell>
          <cell r="C703" t="str">
            <v>TENAGA</v>
          </cell>
        </row>
        <row r="704">
          <cell r="C704" t="str">
            <v>Produksi menentukan (Produksi Three Wheel Roller)</v>
          </cell>
          <cell r="G704" t="str">
            <v>Q1</v>
          </cell>
          <cell r="H704">
            <v>17.43</v>
          </cell>
          <cell r="I704" t="str">
            <v>M3/Jam</v>
          </cell>
        </row>
        <row r="705">
          <cell r="C705" t="str">
            <v>Produksi Lapen / hari   =   Q1 x Tk</v>
          </cell>
          <cell r="G705" t="str">
            <v>Qt</v>
          </cell>
          <cell r="H705">
            <v>122.01</v>
          </cell>
          <cell r="I705" t="str">
            <v>M3</v>
          </cell>
        </row>
        <row r="706">
          <cell r="C706" t="str">
            <v>Kebutuhan tenaga :</v>
          </cell>
        </row>
        <row r="707">
          <cell r="D707" t="str">
            <v>- Pekerja</v>
          </cell>
          <cell r="G707" t="str">
            <v>P</v>
          </cell>
          <cell r="H707">
            <v>100</v>
          </cell>
          <cell r="I707" t="str">
            <v>orang</v>
          </cell>
        </row>
        <row r="708">
          <cell r="D708" t="str">
            <v>- Mandor</v>
          </cell>
          <cell r="G708" t="str">
            <v>M</v>
          </cell>
          <cell r="H708">
            <v>3</v>
          </cell>
          <cell r="I708" t="str">
            <v>orang</v>
          </cell>
        </row>
        <row r="710">
          <cell r="C710" t="str">
            <v>Koefisien Tenaga / M3     :</v>
          </cell>
        </row>
        <row r="711">
          <cell r="D711" t="str">
            <v>- Pekerja</v>
          </cell>
          <cell r="E711" t="str">
            <v>= (Tk x P) / Qt</v>
          </cell>
          <cell r="G711" t="str">
            <v>(L01)</v>
          </cell>
          <cell r="H711">
            <v>5.7371999999999996</v>
          </cell>
          <cell r="I711" t="str">
            <v>Jam</v>
          </cell>
        </row>
        <row r="712">
          <cell r="D712" t="str">
            <v>- Mandor</v>
          </cell>
          <cell r="E712" t="str">
            <v>= (Tk x M) / Qt</v>
          </cell>
          <cell r="G712" t="str">
            <v>(L03)</v>
          </cell>
          <cell r="H712">
            <v>0.1721</v>
          </cell>
          <cell r="I712" t="str">
            <v>Jam</v>
          </cell>
        </row>
        <row r="715">
          <cell r="A715" t="str">
            <v>4.</v>
          </cell>
          <cell r="C715" t="str">
            <v>HARGA DASAR SATUAN UPAH, BAHAN DAN ALAT</v>
          </cell>
        </row>
        <row r="716">
          <cell r="C716" t="str">
            <v>Lihat lampiran.</v>
          </cell>
        </row>
        <row r="718">
          <cell r="A718" t="str">
            <v>5.</v>
          </cell>
          <cell r="C718" t="str">
            <v>ANALISA HARGA SATUAN PEKERJAAN</v>
          </cell>
        </row>
        <row r="719">
          <cell r="C719" t="str">
            <v>Lihat perhitungan dalam FORMULIR STANDAR UNTUK</v>
          </cell>
        </row>
        <row r="720">
          <cell r="C720" t="str">
            <v>PEREKEMAN ANALISA MASING-MASING HARGA</v>
          </cell>
        </row>
        <row r="721">
          <cell r="C721" t="str">
            <v>SATUAN.</v>
          </cell>
        </row>
        <row r="722">
          <cell r="C722" t="str">
            <v>Didapat Harga Satuan Pekerjaan :</v>
          </cell>
        </row>
        <row r="724">
          <cell r="C724" t="str">
            <v xml:space="preserve">Rp.  </v>
          </cell>
          <cell r="D724">
            <v>730439.57</v>
          </cell>
          <cell r="E724" t="str">
            <v xml:space="preserve"> / M3.</v>
          </cell>
        </row>
      </sheetData>
      <sheetData sheetId="12" refreshError="1">
        <row r="1">
          <cell r="A1" t="str">
            <v>ITEM PEMBAYARAN NO.</v>
          </cell>
          <cell r="D1" t="str">
            <v>:  8.1(1)</v>
          </cell>
          <cell r="J1" t="str">
            <v>Analisa EI-811</v>
          </cell>
          <cell r="T1" t="str">
            <v>Analisa EI-811</v>
          </cell>
        </row>
        <row r="2">
          <cell r="A2" t="str">
            <v>JENIS PEKERJAAN</v>
          </cell>
          <cell r="D2" t="str">
            <v>:  Pondasi Agregat Kls. A Untuk Pek Minor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PROYEK</v>
          </cell>
          <cell r="O6" t="str">
            <v>:  Peningkatan Jalan dan Jembatan Wilayah Barat</v>
          </cell>
        </row>
        <row r="7">
          <cell r="L7" t="str">
            <v>No. PAKET KONTRAK</v>
          </cell>
          <cell r="O7" t="str">
            <v xml:space="preserve">: </v>
          </cell>
        </row>
        <row r="8">
          <cell r="L8" t="str">
            <v>PROYEK</v>
          </cell>
          <cell r="O8" t="str">
            <v>:  Peningkatan Jalan dan Jembatan Wilayah Barat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PEKERJAAN</v>
          </cell>
          <cell r="O10" t="str">
            <v>:  Pembangunan Jembatan Beton Tersebar di Wilayah Barat</v>
          </cell>
        </row>
        <row r="11">
          <cell r="A11">
            <v>2</v>
          </cell>
          <cell r="C11" t="str">
            <v>Lokasi pekerjaan : setempat2 di sepanjang jalan</v>
          </cell>
          <cell r="L11" t="str">
            <v>KABUPATEN</v>
          </cell>
          <cell r="O11" t="str">
            <v>:  Lampung Timur</v>
          </cell>
        </row>
        <row r="12">
          <cell r="A12">
            <v>3</v>
          </cell>
          <cell r="C12" t="str">
            <v>Kondisi existing jalan : sedang</v>
          </cell>
          <cell r="G12" t="str">
            <v>L</v>
          </cell>
          <cell r="H12">
            <v>1</v>
          </cell>
          <cell r="I12" t="str">
            <v>KM</v>
          </cell>
          <cell r="L12" t="str">
            <v>MATA PEMBAYARAN NO.</v>
          </cell>
          <cell r="O12" t="str">
            <v>:  8.1(1)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1</v>
          </cell>
          <cell r="I13" t="str">
            <v>KM</v>
          </cell>
          <cell r="L13" t="str">
            <v>JENIS PEKERJAAN</v>
          </cell>
          <cell r="O13" t="str">
            <v>:  Pondasi Agregat Kls. A Untuk  Pek. Minor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  <cell r="Q15" t="str">
            <v>PERKIRAAN</v>
          </cell>
          <cell r="R15" t="str">
            <v>HARGA</v>
          </cell>
          <cell r="S15" t="str">
            <v>JUMLAH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 xml:space="preserve"> 100 bagian</v>
          </cell>
          <cell r="L16" t="str">
            <v>NO.</v>
          </cell>
          <cell r="N16" t="str">
            <v>KOMPONEN</v>
          </cell>
          <cell r="P16" t="str">
            <v>SATUAN</v>
          </cell>
          <cell r="Q16" t="str">
            <v>KUANTITAS</v>
          </cell>
          <cell r="R16" t="str">
            <v>SATUAN</v>
          </cell>
          <cell r="S16" t="str">
            <v>HARGA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7</v>
          </cell>
          <cell r="C18" t="str">
            <v>Berat jenis bahan :</v>
          </cell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D19" t="str">
            <v>- Batu pecah 5/7</v>
          </cell>
          <cell r="G19" t="str">
            <v>D1</v>
          </cell>
          <cell r="H19">
            <v>1.05</v>
          </cell>
          <cell r="I19" t="str">
            <v>Kg / liter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 xml:space="preserve">Wheel Loader mencampur &amp; memuat Agregat ke </v>
          </cell>
          <cell r="G20" t="str">
            <v>D2</v>
          </cell>
          <cell r="H20">
            <v>0.8</v>
          </cell>
          <cell r="I20" t="str">
            <v>Kg / liter</v>
          </cell>
          <cell r="L20" t="str">
            <v>A.</v>
          </cell>
          <cell r="N20" t="str">
            <v>TENAGA</v>
          </cell>
        </row>
        <row r="21">
          <cell r="A21">
            <v>8</v>
          </cell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  <cell r="O22" t="str">
            <v>(L01)</v>
          </cell>
          <cell r="P22" t="str">
            <v>Jam</v>
          </cell>
          <cell r="Q22">
            <v>3.0099999999999998E-2</v>
          </cell>
          <cell r="R22">
            <v>2500</v>
          </cell>
          <cell r="U22">
            <v>75.25</v>
          </cell>
        </row>
        <row r="23">
          <cell r="A23">
            <v>2</v>
          </cell>
          <cell r="C23" t="str">
            <v>pekerjaan dan dihampar secara manual</v>
          </cell>
          <cell r="L23" t="str">
            <v>2.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3.0000000000000001E-3</v>
          </cell>
          <cell r="R23">
            <v>3571.43</v>
          </cell>
          <cell r="U23">
            <v>10.71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 Biasa</v>
          </cell>
          <cell r="O24" t="str">
            <v>(L01)</v>
          </cell>
          <cell r="P24" t="str">
            <v>jam</v>
          </cell>
          <cell r="Q24">
            <v>0.44619999999999999</v>
          </cell>
          <cell r="R24">
            <v>2500</v>
          </cell>
          <cell r="U24">
            <v>1115.5</v>
          </cell>
        </row>
        <row r="25">
          <cell r="A25">
            <v>1</v>
          </cell>
          <cell r="C25" t="str">
            <v>Truck sebelum dipadatkan dengan Pedestrian Roller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1.78E-2</v>
          </cell>
          <cell r="R25">
            <v>3571.43</v>
          </cell>
          <cell r="U25">
            <v>63.57</v>
          </cell>
        </row>
        <row r="26">
          <cell r="A26">
            <v>4</v>
          </cell>
          <cell r="C26" t="str">
            <v>Sekelompok pekerja membuat galian lubang/patching,</v>
          </cell>
          <cell r="Q26" t="str">
            <v xml:space="preserve">JUMLAH HARGA TENAGA   </v>
          </cell>
          <cell r="U26">
            <v>85.960000000000008</v>
          </cell>
        </row>
        <row r="27">
          <cell r="A27">
            <v>2</v>
          </cell>
          <cell r="C27" t="str">
            <v>merapikan tepi hamparan dan level permukaan</v>
          </cell>
        </row>
        <row r="28">
          <cell r="C28" t="str">
            <v>dengan menggunakan Alat Bantu</v>
          </cell>
          <cell r="L28" t="str">
            <v>B.</v>
          </cell>
          <cell r="N28" t="str">
            <v>BAHAN</v>
          </cell>
          <cell r="Q28" t="str">
            <v xml:space="preserve">JUMLAH HARGA TENAGA   </v>
          </cell>
          <cell r="U28">
            <v>1179.07</v>
          </cell>
        </row>
        <row r="29">
          <cell r="A29">
            <v>3</v>
          </cell>
          <cell r="C29" t="str">
            <v>Campuran aspal cair disemprotkan dengan Asphalt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  <cell r="O30" t="str">
            <v>(M10)</v>
          </cell>
          <cell r="P30" t="str">
            <v>Kg</v>
          </cell>
          <cell r="Q30">
            <v>0.64680000000000004</v>
          </cell>
          <cell r="R30">
            <v>3500</v>
          </cell>
          <cell r="U30">
            <v>2263.8000000000002</v>
          </cell>
        </row>
        <row r="31">
          <cell r="A31">
            <v>4</v>
          </cell>
          <cell r="C31" t="str">
            <v>Angkutan Aspal &amp; Minyak Flux menggunakan Dump Truck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  <cell r="L31" t="str">
            <v>2.</v>
          </cell>
          <cell r="N31" t="str">
            <v>Kerosene</v>
          </cell>
          <cell r="O31" t="str">
            <v>(M11)</v>
          </cell>
          <cell r="P31" t="str">
            <v>liter</v>
          </cell>
          <cell r="Q31">
            <v>0.48399999999999999</v>
          </cell>
          <cell r="R31">
            <v>1500</v>
          </cell>
          <cell r="U31">
            <v>726</v>
          </cell>
        </row>
        <row r="32">
          <cell r="A32" t="str">
            <v xml:space="preserve">   1.</v>
          </cell>
          <cell r="C32" t="str">
            <v>BAHAN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  <cell r="L32" t="str">
            <v>1.</v>
          </cell>
          <cell r="N32" t="str">
            <v>Agregat kasar</v>
          </cell>
          <cell r="O32" t="str">
            <v>(M03)</v>
          </cell>
          <cell r="P32" t="str">
            <v>M3</v>
          </cell>
          <cell r="Q32">
            <v>0.66</v>
          </cell>
          <cell r="R32">
            <v>0</v>
          </cell>
          <cell r="U32">
            <v>0</v>
          </cell>
        </row>
        <row r="33">
          <cell r="A33" t="str">
            <v>III.</v>
          </cell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</v>
          </cell>
          <cell r="O33" t="str">
            <v>(M04)</v>
          </cell>
          <cell r="P33" t="str">
            <v>M3</v>
          </cell>
          <cell r="Q33">
            <v>0.54</v>
          </cell>
          <cell r="R33">
            <v>0</v>
          </cell>
          <cell r="U33">
            <v>0</v>
          </cell>
        </row>
        <row r="34">
          <cell r="A34" t="str">
            <v xml:space="preserve">   2.</v>
          </cell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5">
          <cell r="A35" t="str">
            <v xml:space="preserve">   1.</v>
          </cell>
          <cell r="C35" t="str">
            <v>BAHAN</v>
          </cell>
          <cell r="G35" t="str">
            <v>(E08)</v>
          </cell>
        </row>
        <row r="36">
          <cell r="A36" t="str">
            <v xml:space="preserve">   2.</v>
          </cell>
          <cell r="C36" t="str">
            <v>ALAT</v>
          </cell>
          <cell r="G36" t="str">
            <v>V</v>
          </cell>
          <cell r="H36">
            <v>4</v>
          </cell>
          <cell r="I36" t="str">
            <v>M3</v>
          </cell>
          <cell r="Q36" t="str">
            <v xml:space="preserve">JUMLAH HARGA BAHAN   </v>
          </cell>
          <cell r="U36">
            <v>2989.8</v>
          </cell>
        </row>
        <row r="37">
          <cell r="A37" t="str">
            <v xml:space="preserve">   2.a.</v>
          </cell>
          <cell r="C37" t="str">
            <v>WHEEL LOADER</v>
          </cell>
          <cell r="D37" t="str">
            <v>( 1 liter x Fh )</v>
          </cell>
          <cell r="G37" t="str">
            <v>(E15)</v>
          </cell>
          <cell r="H37">
            <v>1.1000000000000001</v>
          </cell>
          <cell r="I37" t="str">
            <v>liter</v>
          </cell>
          <cell r="J37" t="str">
            <v xml:space="preserve"> campuran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L38" t="str">
            <v>C.</v>
          </cell>
          <cell r="N38" t="str">
            <v>PERALATAN</v>
          </cell>
          <cell r="Q38" t="str">
            <v xml:space="preserve">JUMLAH HARGA BAHAN   </v>
          </cell>
          <cell r="U38">
            <v>0</v>
          </cell>
        </row>
        <row r="39">
          <cell r="A39" t="str">
            <v xml:space="preserve">   1.a.</v>
          </cell>
          <cell r="C39" t="str">
            <v>Faktor bucket</v>
          </cell>
          <cell r="D39" t="str">
            <v>=   As x PC x D1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A40" t="str">
            <v xml:space="preserve">   1.b.</v>
          </cell>
          <cell r="C40" t="str">
            <v>Faktor Efisiensi alat</v>
          </cell>
          <cell r="D40" t="str">
            <v>=   K x PC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  <cell r="O40" t="str">
            <v>(E03)</v>
          </cell>
          <cell r="P40" t="str">
            <v>Jam</v>
          </cell>
          <cell r="Q40">
            <v>3.0000000000000001E-3</v>
          </cell>
          <cell r="R40">
            <v>24722.73</v>
          </cell>
          <cell r="U40">
            <v>74.17</v>
          </cell>
        </row>
        <row r="41">
          <cell r="C41" t="str">
            <v>Waktu Siklus :</v>
          </cell>
          <cell r="G41" t="str">
            <v>Ts1</v>
          </cell>
          <cell r="H41">
            <v>1.5</v>
          </cell>
          <cell r="I41" t="str">
            <v>menit</v>
          </cell>
          <cell r="L41" t="str">
            <v>2.</v>
          </cell>
          <cell r="N41" t="str">
            <v>Compressor</v>
          </cell>
          <cell r="O41" t="str">
            <v>(E05)</v>
          </cell>
          <cell r="P41" t="str">
            <v>Jam</v>
          </cell>
          <cell r="Q41">
            <v>3.0999999999999999E-3</v>
          </cell>
          <cell r="R41">
            <v>47770.43</v>
          </cell>
          <cell r="U41">
            <v>148.09</v>
          </cell>
        </row>
        <row r="42">
          <cell r="A42" t="str">
            <v xml:space="preserve">   2.</v>
          </cell>
          <cell r="C42" t="str">
            <v>- Mencampur</v>
          </cell>
          <cell r="G42" t="str">
            <v>T1</v>
          </cell>
          <cell r="H42">
            <v>0.5</v>
          </cell>
          <cell r="I42" t="str">
            <v>menit</v>
          </cell>
          <cell r="L42" t="str">
            <v>1.</v>
          </cell>
          <cell r="N42" t="str">
            <v>Wheel Loader</v>
          </cell>
          <cell r="O42" t="str">
            <v>(E15)</v>
          </cell>
          <cell r="P42" t="str">
            <v>jam</v>
          </cell>
          <cell r="Q42">
            <v>1.78E-2</v>
          </cell>
          <cell r="R42">
            <v>143049.93</v>
          </cell>
          <cell r="U42">
            <v>2546.29</v>
          </cell>
        </row>
        <row r="43">
          <cell r="A43" t="str">
            <v xml:space="preserve">   2.a.</v>
          </cell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2.</v>
          </cell>
          <cell r="N43" t="str">
            <v>Dump Truck</v>
          </cell>
          <cell r="O43" t="str">
            <v>(E09)</v>
          </cell>
          <cell r="P43" t="str">
            <v>jam</v>
          </cell>
          <cell r="Q43">
            <v>9.0399999999999994E-2</v>
          </cell>
          <cell r="R43">
            <v>102654.43</v>
          </cell>
          <cell r="U43">
            <v>9279.9599999999991</v>
          </cell>
        </row>
        <row r="44">
          <cell r="C44" t="str">
            <v>Kapasitas alat</v>
          </cell>
          <cell r="G44" t="str">
            <v>Ts1</v>
          </cell>
          <cell r="H44">
            <v>1</v>
          </cell>
          <cell r="I44" t="str">
            <v>menit</v>
          </cell>
          <cell r="L44" t="str">
            <v>3.</v>
          </cell>
          <cell r="N44" t="str">
            <v>Pedestrian Roller</v>
          </cell>
          <cell r="O44" t="str">
            <v>(E24)</v>
          </cell>
          <cell r="P44" t="str">
            <v>jam</v>
          </cell>
          <cell r="Q44">
            <v>4.82E-2</v>
          </cell>
          <cell r="R44">
            <v>28134.059999999998</v>
          </cell>
          <cell r="U44">
            <v>1356.06</v>
          </cell>
        </row>
        <row r="45">
          <cell r="C45" t="str">
            <v>Faktor efisiensi alat</v>
          </cell>
          <cell r="G45" t="str">
            <v>Fa</v>
          </cell>
          <cell r="H45">
            <v>0.83</v>
          </cell>
          <cell r="I45" t="str">
            <v>-</v>
          </cell>
          <cell r="L45" t="str">
            <v>4.</v>
          </cell>
          <cell r="N45" t="str">
            <v>Water Tanker</v>
          </cell>
          <cell r="O45" t="str">
            <v>(E23)</v>
          </cell>
          <cell r="P45" t="str">
            <v>jam</v>
          </cell>
          <cell r="Q45">
            <v>2.1100000000000001E-2</v>
          </cell>
          <cell r="R45">
            <v>82267.929999999993</v>
          </cell>
          <cell r="U45">
            <v>1735.85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56.024999999999999</v>
          </cell>
          <cell r="I46" t="str">
            <v>M3</v>
          </cell>
          <cell r="J46" t="str">
            <v>Berlanjut ke hal. berikut</v>
          </cell>
          <cell r="L46" t="str">
            <v>5.</v>
          </cell>
          <cell r="N46" t="str">
            <v>Alat Bantu</v>
          </cell>
          <cell r="P46" t="str">
            <v>Ls</v>
          </cell>
          <cell r="Q46">
            <v>1</v>
          </cell>
          <cell r="R46">
            <v>2000</v>
          </cell>
          <cell r="U46">
            <v>2000</v>
          </cell>
        </row>
        <row r="47">
          <cell r="C47" t="str">
            <v>Kap. Prod. / jam =</v>
          </cell>
          <cell r="D47" t="str">
            <v>Fk x Ts1</v>
          </cell>
          <cell r="G47" t="str">
            <v>Q1</v>
          </cell>
          <cell r="H47">
            <v>332</v>
          </cell>
          <cell r="I47" t="str">
            <v>liter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1.78E-2</v>
          </cell>
          <cell r="I48" t="str">
            <v>jam</v>
          </cell>
          <cell r="Q48" t="str">
            <v xml:space="preserve">JUMLAH HARGA PERALATAN   </v>
          </cell>
          <cell r="U48">
            <v>469.06</v>
          </cell>
        </row>
        <row r="49">
          <cell r="C49" t="str">
            <v>Koefisien Alat / Ltr</v>
          </cell>
          <cell r="D49" t="str">
            <v xml:space="preserve"> =  1  :  Q1</v>
          </cell>
          <cell r="G49" t="str">
            <v>(E03)</v>
          </cell>
          <cell r="H49">
            <v>3.0000000000000001E-3</v>
          </cell>
          <cell r="I49" t="str">
            <v>Jam</v>
          </cell>
          <cell r="L49" t="str">
            <v>D.</v>
          </cell>
          <cell r="N49" t="str">
            <v>JUMLAH HARGA TENAGA, BAHAN DAN PERALATAN  ( A + B + C )</v>
          </cell>
          <cell r="U49">
            <v>3544.82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  <cell r="L50" t="str">
            <v>E.</v>
          </cell>
          <cell r="N50" t="str">
            <v>OVERHEAD &amp; PROFIT</v>
          </cell>
          <cell r="P50">
            <v>10</v>
          </cell>
          <cell r="Q50" t="str">
            <v>%  x  D</v>
          </cell>
          <cell r="U50">
            <v>354.48</v>
          </cell>
        </row>
        <row r="51">
          <cell r="A51" t="str">
            <v xml:space="preserve">   2.b.</v>
          </cell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F.</v>
          </cell>
          <cell r="N51" t="str">
            <v>HARGA SATUAN PEKERJAAN  ( D + E )</v>
          </cell>
          <cell r="U51">
            <v>3899.3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Q52" t="str">
            <v xml:space="preserve">JUMLAH HARGA PERALATAN   </v>
          </cell>
          <cell r="U52">
            <v>16918.16</v>
          </cell>
        </row>
        <row r="53">
          <cell r="C53" t="str">
            <v>Kecepatan rata-rata bermuatan</v>
          </cell>
          <cell r="G53" t="str">
            <v>v1</v>
          </cell>
          <cell r="H53">
            <v>40</v>
          </cell>
          <cell r="I53" t="str">
            <v>KM/jam</v>
          </cell>
          <cell r="L53" t="str">
            <v>D.</v>
          </cell>
          <cell r="N53" t="str">
            <v>JUMLAH HARGA TENAGA, BAHAN DAN PERALATAN  ( A + B + C )</v>
          </cell>
          <cell r="U53">
            <v>18097.23</v>
          </cell>
        </row>
        <row r="54">
          <cell r="C54" t="str">
            <v>Kecepatan rata-rata kosong</v>
          </cell>
          <cell r="D54" t="str">
            <v>( V x Ap )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E.</v>
          </cell>
          <cell r="N54" t="str">
            <v>OVERHEAD &amp; PROFIT</v>
          </cell>
          <cell r="P54">
            <v>10</v>
          </cell>
          <cell r="Q54" t="str">
            <v>%  x  D</v>
          </cell>
          <cell r="U54">
            <v>1809.72</v>
          </cell>
        </row>
        <row r="55">
          <cell r="C55" t="str">
            <v>Waktu Siklus :</v>
          </cell>
          <cell r="D55" t="str">
            <v xml:space="preserve"> =  1  :  Q2</v>
          </cell>
          <cell r="G55" t="str">
            <v>Ts2</v>
          </cell>
          <cell r="H55">
            <v>3.0999999999999999E-3</v>
          </cell>
          <cell r="I55" t="str">
            <v>Jam</v>
          </cell>
          <cell r="L55" t="str">
            <v>F.</v>
          </cell>
          <cell r="N55" t="str">
            <v>HARGA SATUAN PEKERJAAN  ( D + E )</v>
          </cell>
          <cell r="U55">
            <v>19906.95</v>
          </cell>
        </row>
        <row r="56">
          <cell r="C56" t="str">
            <v>- Waktu tempuh isi  =  (L : v1) x 60 menit</v>
          </cell>
          <cell r="G56" t="str">
            <v>T1</v>
          </cell>
          <cell r="H56">
            <v>1.5</v>
          </cell>
          <cell r="I56" t="str">
            <v>menit</v>
          </cell>
          <cell r="L56">
            <v>4</v>
          </cell>
          <cell r="N56" t="str">
            <v>Biaya satuan sudah termasuk pengeluaran untuk seluruh pajak yang berkaitan (tetapi tidak termasuk PPN yang dibayar dari kontrak )</v>
          </cell>
        </row>
        <row r="57">
          <cell r="A57" t="str">
            <v>ITEM PEMBAYARAN NO.</v>
          </cell>
          <cell r="C57" t="str">
            <v>- Waktu tempuh kosong  =  (L : v2) x 60 menit</v>
          </cell>
          <cell r="D57" t="str">
            <v>:  5.1 (6)</v>
          </cell>
          <cell r="G57" t="str">
            <v>T2</v>
          </cell>
          <cell r="H57">
            <v>1</v>
          </cell>
          <cell r="I57" t="str">
            <v>menit</v>
          </cell>
          <cell r="J57" t="str">
            <v>Berlanjut ke hal. berikut.</v>
          </cell>
          <cell r="L57" t="str">
            <v>Note: 1</v>
          </cell>
          <cell r="N57" t="str">
            <v>SATUAN dapat berdasarkan atas jam operasi untuk Tenaga Kerja dan Peralatan, volume dan/atau ukuran berat untuk bahan</v>
          </cell>
        </row>
        <row r="58">
          <cell r="A58" t="str">
            <v>ITEM PEMBAYARAN NO.</v>
          </cell>
          <cell r="C58" t="str">
            <v>- Lain-lain (termasuk dumping setempat-setempat)</v>
          </cell>
          <cell r="D58" t="str">
            <v>:  6.1 (1)</v>
          </cell>
          <cell r="G58" t="str">
            <v>T3</v>
          </cell>
          <cell r="H58">
            <v>20</v>
          </cell>
          <cell r="I58" t="str">
            <v>menit</v>
          </cell>
          <cell r="J58" t="str">
            <v>Analisa EI-611</v>
          </cell>
          <cell r="L58">
            <v>2</v>
          </cell>
          <cell r="N58" t="str">
            <v>Kuantitas satuan adalah kuantitas setiap komponen untuk menyelesaikan satu satuan pekerjaan dari nomor mata pembayaran</v>
          </cell>
          <cell r="T58" t="str">
            <v>Analisa EI-612</v>
          </cell>
        </row>
        <row r="59">
          <cell r="A59" t="str">
            <v>JENIS PEKERJAAN</v>
          </cell>
          <cell r="D59" t="str">
            <v>:  Lapis Resap Pengikat</v>
          </cell>
          <cell r="G59" t="str">
            <v>Ts2</v>
          </cell>
          <cell r="H59">
            <v>22.5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  <cell r="L60">
            <v>4</v>
          </cell>
          <cell r="N60" t="str">
            <v>Biaya satuan sudah termasuk pengeluaran untuk seluruh pajak yang berkaitan (tetapi tidak termasuk PPN yang dibayar dari ontrak )</v>
          </cell>
        </row>
        <row r="61">
          <cell r="J61" t="str">
            <v>Berlanjut ke halaman berikut</v>
          </cell>
          <cell r="L61" t="str">
            <v>PEREKAMAN ANALISA MASING-MASING HARGA SATUAN</v>
          </cell>
          <cell r="N61" t="str">
            <v>dan biaya-biaya lainnya.</v>
          </cell>
        </row>
        <row r="62">
          <cell r="A62" t="str">
            <v>ITEM PEMBAYARAN NO.</v>
          </cell>
          <cell r="C62" t="str">
            <v>U R A I A N</v>
          </cell>
          <cell r="D62" t="str">
            <v>:  8.1(1)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Analisa EI-811</v>
          </cell>
          <cell r="T62" t="str">
            <v>Analisa EI-812</v>
          </cell>
        </row>
        <row r="63">
          <cell r="A63" t="str">
            <v>JENIS PEKERJAAN</v>
          </cell>
          <cell r="C63" t="str">
            <v>U R A I A N</v>
          </cell>
          <cell r="D63" t="str">
            <v>:  Pondasi Agregat Kls. A Untuk Pek Minor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  <cell r="L63" t="str">
            <v>PROYEK</v>
          </cell>
          <cell r="O63" t="str">
            <v>:  Peningkatan Jalan dan Jembatan Wilayah Barat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  <cell r="L64" t="str">
            <v>FORMULIR STANDAR UNTUK</v>
          </cell>
          <cell r="O64" t="str">
            <v xml:space="preserve">: </v>
          </cell>
        </row>
        <row r="65">
          <cell r="C65" t="str">
            <v>Kap. Prod. / jam =</v>
          </cell>
          <cell r="D65" t="str">
            <v>V x Fa x 60</v>
          </cell>
          <cell r="G65" t="str">
            <v>Q1</v>
          </cell>
          <cell r="H65">
            <v>5.2651000000000003</v>
          </cell>
          <cell r="I65" t="str">
            <v>M3</v>
          </cell>
          <cell r="J65" t="str">
            <v>Lanjutan</v>
          </cell>
          <cell r="L65" t="str">
            <v>PEREKAMAN ANALISA MASING-MASING HARGA SATUAN</v>
          </cell>
          <cell r="O65" t="str">
            <v>:  Pembangunan Jembatan Beton Tersebar di Wilayah Barat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G66" t="str">
            <v>(E08)</v>
          </cell>
          <cell r="L66" t="str">
            <v>KABUPATEN</v>
          </cell>
          <cell r="O66" t="str">
            <v>:  Lampung Timur</v>
          </cell>
        </row>
        <row r="67">
          <cell r="A67" t="str">
            <v>No.</v>
          </cell>
          <cell r="C67" t="str">
            <v>U R A I A N</v>
          </cell>
          <cell r="D67" t="str">
            <v xml:space="preserve"> =  1  :  Q1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  <cell r="L67" t="str">
            <v>ITEM PEMBAYARAN NO.</v>
          </cell>
          <cell r="O67" t="str">
            <v>:  6.1 (2)</v>
          </cell>
        </row>
        <row r="68">
          <cell r="C68" t="str">
            <v>Dump Truck melayani alat Asphalt Sprayer.</v>
          </cell>
          <cell r="L68" t="str">
            <v>JENIS PEKERJAAN</v>
          </cell>
          <cell r="O68" t="str">
            <v>:  Lapis Perekat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  <cell r="L69" t="str">
            <v>PROYEK</v>
          </cell>
          <cell r="O69" t="str">
            <v>:  Peningkatan Jalan dan Jembatan Wilayah Barat</v>
          </cell>
        </row>
        <row r="70">
          <cell r="A70" t="str">
            <v xml:space="preserve">   2.b.</v>
          </cell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11.066700000000001</v>
          </cell>
          <cell r="I70" t="str">
            <v>M3</v>
          </cell>
          <cell r="L70" t="str">
            <v>No. PAKET KONTRAK</v>
          </cell>
          <cell r="O70" t="str">
            <v xml:space="preserve">: </v>
          </cell>
        </row>
        <row r="71">
          <cell r="C71" t="str">
            <v>Koefisien Alat / Ltr</v>
          </cell>
          <cell r="D71" t="str">
            <v>Fk x Ts2</v>
          </cell>
          <cell r="G71" t="str">
            <v>(E08)</v>
          </cell>
          <cell r="H71">
            <v>3.0000000000000001E-3</v>
          </cell>
          <cell r="I71" t="str">
            <v>Jam</v>
          </cell>
          <cell r="L71" t="str">
            <v>PEKERJAAN</v>
          </cell>
          <cell r="O71" t="str">
            <v>:  Pembangunan Jembatan Beton Tersebar di Wilayah Barat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9.0399999999999994E-2</v>
          </cell>
          <cell r="I72" t="str">
            <v>jam</v>
          </cell>
          <cell r="L72" t="str">
            <v>KABUPATEN</v>
          </cell>
          <cell r="O72" t="str">
            <v>:  Lampung Timur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A73" t="str">
            <v xml:space="preserve">   3.</v>
          </cell>
          <cell r="C73" t="str">
            <v>TENAGA</v>
          </cell>
          <cell r="G73" t="str">
            <v>n</v>
          </cell>
          <cell r="H73">
            <v>8</v>
          </cell>
          <cell r="I73" t="str">
            <v>lintasan</v>
          </cell>
          <cell r="L73" t="str">
            <v>MATA PEMBAYARAN NO.</v>
          </cell>
          <cell r="N73" t="str">
            <v>KOMPONEN</v>
          </cell>
          <cell r="O73" t="str">
            <v>:  8.1(2)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A74" t="str">
            <v xml:space="preserve">   2.c.</v>
          </cell>
          <cell r="C74" t="str">
            <v>PEDESTRIAN ROLLER</v>
          </cell>
          <cell r="G74" t="str">
            <v>(E24)</v>
          </cell>
          <cell r="H74">
            <v>332</v>
          </cell>
          <cell r="I74" t="str">
            <v>liter</v>
          </cell>
          <cell r="L74" t="str">
            <v>JENIS PEKERJAAN</v>
          </cell>
          <cell r="O74" t="str">
            <v>:  Pondasi Agregat Kls. B Untuk  Pek. Minor</v>
          </cell>
          <cell r="R74" t="str">
            <v>(Rp.)</v>
          </cell>
          <cell r="S74" t="str">
            <v>(Rp.)</v>
          </cell>
        </row>
        <row r="75">
          <cell r="C75" t="str">
            <v>Kecepatan rata-rata alat</v>
          </cell>
          <cell r="G75" t="str">
            <v>v</v>
          </cell>
          <cell r="H75">
            <v>2.5</v>
          </cell>
          <cell r="I75" t="str">
            <v>KM/jam</v>
          </cell>
          <cell r="L75" t="str">
            <v>SATUAN PEMBAYARAN</v>
          </cell>
          <cell r="O75" t="str">
            <v>:  M3</v>
          </cell>
        </row>
        <row r="76">
          <cell r="C76" t="str">
            <v>Lebar efektif pemadatan</v>
          </cell>
          <cell r="D76" t="str">
            <v>(v x 1000) x b x t x Fa</v>
          </cell>
          <cell r="G76" t="str">
            <v>b</v>
          </cell>
          <cell r="H76">
            <v>0.8</v>
          </cell>
          <cell r="I76" t="str">
            <v>M</v>
          </cell>
        </row>
        <row r="77">
          <cell r="C77" t="str">
            <v>Jumlah lintasan</v>
          </cell>
          <cell r="D77" t="str">
            <v>- Pekerja</v>
          </cell>
          <cell r="G77" t="str">
            <v>n</v>
          </cell>
          <cell r="H77">
            <v>12</v>
          </cell>
          <cell r="I77" t="str">
            <v>lintasan</v>
          </cell>
          <cell r="L77" t="str">
            <v>A.</v>
          </cell>
          <cell r="N77" t="str">
            <v>TENAGA</v>
          </cell>
        </row>
        <row r="78">
          <cell r="C78" t="str">
            <v>Faktor Efisiensi alat</v>
          </cell>
          <cell r="D78" t="str">
            <v>- Mandor</v>
          </cell>
          <cell r="G78" t="str">
            <v>Fa</v>
          </cell>
          <cell r="H78">
            <v>0.83</v>
          </cell>
          <cell r="I78" t="str">
            <v>-</v>
          </cell>
          <cell r="Q78" t="str">
            <v>PERKIRAAN</v>
          </cell>
          <cell r="R78" t="str">
            <v>HARGA</v>
          </cell>
          <cell r="S78" t="str">
            <v>JUMLAH</v>
          </cell>
        </row>
        <row r="79">
          <cell r="L79" t="str">
            <v>NO.</v>
          </cell>
          <cell r="N79" t="str">
            <v>KOMPONEN</v>
          </cell>
          <cell r="O79" t="str">
            <v>(L01)</v>
          </cell>
          <cell r="P79" t="str">
            <v>SATUAN</v>
          </cell>
          <cell r="Q79" t="str">
            <v>KUANTITAS</v>
          </cell>
          <cell r="R79" t="str">
            <v>SATUAN</v>
          </cell>
          <cell r="S79" t="str">
            <v>HARGA</v>
          </cell>
          <cell r="U79">
            <v>75.25</v>
          </cell>
        </row>
        <row r="80">
          <cell r="A80" t="str">
            <v xml:space="preserve">   2.c.</v>
          </cell>
          <cell r="C80" t="str">
            <v>Kap. Prod. / jam =</v>
          </cell>
          <cell r="D80" t="str">
            <v>(v x 1000) x b x t x Fa</v>
          </cell>
          <cell r="G80" t="str">
            <v>Q3</v>
          </cell>
          <cell r="H80">
            <v>20.75</v>
          </cell>
          <cell r="I80" t="str">
            <v>M3</v>
          </cell>
          <cell r="J80" t="str">
            <v xml:space="preserve"> Lump Sum</v>
          </cell>
          <cell r="L80" t="str">
            <v>2.</v>
          </cell>
          <cell r="N80" t="str">
            <v>Mandor</v>
          </cell>
          <cell r="O80" t="str">
            <v>(L03)</v>
          </cell>
          <cell r="P80" t="str">
            <v>Jam</v>
          </cell>
          <cell r="Q80">
            <v>3.0000000000000001E-3</v>
          </cell>
          <cell r="R80" t="str">
            <v>(Rp.)</v>
          </cell>
          <cell r="S80" t="str">
            <v>(Rp.)</v>
          </cell>
          <cell r="U80">
            <v>10.71</v>
          </cell>
        </row>
        <row r="81">
          <cell r="C81" t="str">
            <v>Diperlukan   :</v>
          </cell>
          <cell r="D81" t="str">
            <v>n</v>
          </cell>
          <cell r="E81" t="str">
            <v>= (Tk x P) : Qt</v>
          </cell>
          <cell r="G81" t="str">
            <v>(L01)</v>
          </cell>
          <cell r="H81">
            <v>3.0099999999999998E-2</v>
          </cell>
          <cell r="I81" t="str">
            <v>Jam</v>
          </cell>
        </row>
        <row r="82">
          <cell r="C82" t="str">
            <v>Koefisien Alat / M3</v>
          </cell>
          <cell r="D82" t="str">
            <v xml:space="preserve"> =  1  :  Q3</v>
          </cell>
          <cell r="E82" t="str">
            <v>= (Tk x M) : Qt</v>
          </cell>
          <cell r="G82" t="str">
            <v>(E24)</v>
          </cell>
          <cell r="H82">
            <v>4.82E-2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  <cell r="L83" t="str">
            <v>A.</v>
          </cell>
          <cell r="N83" t="str">
            <v>TENAGA</v>
          </cell>
          <cell r="Q83" t="str">
            <v xml:space="preserve">JUMLAH HARGA TENAGA   </v>
          </cell>
          <cell r="U83">
            <v>85.960000000000008</v>
          </cell>
        </row>
        <row r="84">
          <cell r="A84" t="str">
            <v xml:space="preserve">   2.d.</v>
          </cell>
          <cell r="C84" t="str">
            <v>WATER TANK TRUCK</v>
          </cell>
          <cell r="D84" t="str">
            <v>=  2  buah.</v>
          </cell>
          <cell r="G84" t="str">
            <v>(E23)</v>
          </cell>
        </row>
        <row r="85">
          <cell r="C85" t="str">
            <v>Volume tanki air</v>
          </cell>
          <cell r="G85" t="str">
            <v>V</v>
          </cell>
          <cell r="H85">
            <v>4</v>
          </cell>
          <cell r="I85" t="str">
            <v>M3</v>
          </cell>
          <cell r="L85" t="str">
            <v>1.</v>
          </cell>
          <cell r="N85" t="str">
            <v>Pekerja Biasa</v>
          </cell>
          <cell r="O85" t="str">
            <v>(L01)</v>
          </cell>
          <cell r="P85" t="str">
            <v>jam</v>
          </cell>
          <cell r="Q85">
            <v>0.44619999999999999</v>
          </cell>
          <cell r="R85">
            <v>2500</v>
          </cell>
          <cell r="U85">
            <v>1115.5</v>
          </cell>
        </row>
        <row r="86">
          <cell r="A86" t="str">
            <v xml:space="preserve">   3.</v>
          </cell>
          <cell r="C86" t="str">
            <v>Kebutuhan air / M3 agregat padat</v>
          </cell>
          <cell r="G86" t="str">
            <v>Wc</v>
          </cell>
          <cell r="H86">
            <v>7.0000000000000007E-2</v>
          </cell>
          <cell r="I86" t="str">
            <v>M3</v>
          </cell>
          <cell r="L86" t="str">
            <v>2.</v>
          </cell>
          <cell r="N86" t="str">
            <v>Mandor</v>
          </cell>
          <cell r="O86" t="str">
            <v>(L03)</v>
          </cell>
          <cell r="P86" t="str">
            <v>jam</v>
          </cell>
          <cell r="Q86">
            <v>1.78E-2</v>
          </cell>
          <cell r="R86">
            <v>3571.43</v>
          </cell>
          <cell r="U86">
            <v>63.57</v>
          </cell>
        </row>
        <row r="87">
          <cell r="A87" t="str">
            <v>5.</v>
          </cell>
          <cell r="C87" t="str">
            <v>Pengisian tanki / jam</v>
          </cell>
          <cell r="G87" t="str">
            <v>n</v>
          </cell>
          <cell r="H87">
            <v>1</v>
          </cell>
          <cell r="I87" t="str">
            <v>kali</v>
          </cell>
          <cell r="L87" t="str">
            <v>1.</v>
          </cell>
          <cell r="N87" t="str">
            <v>Aspal</v>
          </cell>
          <cell r="O87" t="str">
            <v>(M10)</v>
          </cell>
          <cell r="P87" t="str">
            <v>Kg</v>
          </cell>
          <cell r="Q87">
            <v>0.88800000000000001</v>
          </cell>
          <cell r="R87">
            <v>3500</v>
          </cell>
          <cell r="U87">
            <v>3108</v>
          </cell>
        </row>
        <row r="88">
          <cell r="C88" t="str">
            <v>Faktor Efisiensi alat</v>
          </cell>
          <cell r="G88" t="str">
            <v>Fa</v>
          </cell>
          <cell r="H88">
            <v>0.83</v>
          </cell>
          <cell r="I88" t="str">
            <v>-</v>
          </cell>
          <cell r="L88" t="str">
            <v>2.</v>
          </cell>
          <cell r="N88" t="str">
            <v>Kerosene</v>
          </cell>
          <cell r="O88" t="str">
            <v>(M11)</v>
          </cell>
          <cell r="P88" t="str">
            <v>liter</v>
          </cell>
          <cell r="Q88">
            <v>0.253</v>
          </cell>
          <cell r="R88">
            <v>1500</v>
          </cell>
          <cell r="U88">
            <v>379.5</v>
          </cell>
        </row>
        <row r="89">
          <cell r="C89" t="str">
            <v>PEREKEMAN ANALISA MASING-MASING HARGA</v>
          </cell>
          <cell r="Q89" t="str">
            <v xml:space="preserve">JUMLAH HARGA TENAGA   </v>
          </cell>
          <cell r="U89">
            <v>1179.07</v>
          </cell>
        </row>
        <row r="90">
          <cell r="C90" t="str">
            <v>Kap. Prod. / jam =</v>
          </cell>
          <cell r="D90" t="str">
            <v>V x n x Fa</v>
          </cell>
          <cell r="G90" t="str">
            <v>Q4</v>
          </cell>
          <cell r="H90">
            <v>47.428600000000003</v>
          </cell>
          <cell r="I90" t="str">
            <v>M3</v>
          </cell>
        </row>
        <row r="91">
          <cell r="C91" t="str">
            <v>Didapat Harga Satuan Pekerjaan :</v>
          </cell>
          <cell r="D91" t="str">
            <v>Wc</v>
          </cell>
          <cell r="G91" t="str">
            <v>M</v>
          </cell>
          <cell r="H91">
            <v>4</v>
          </cell>
          <cell r="I91" t="str">
            <v>orang</v>
          </cell>
          <cell r="L91" t="str">
            <v>B.</v>
          </cell>
          <cell r="N91" t="str">
            <v>BAHAN</v>
          </cell>
        </row>
        <row r="92">
          <cell r="C92" t="str">
            <v>Koefisien Alat / M3</v>
          </cell>
          <cell r="D92" t="str">
            <v xml:space="preserve"> =  1  :  Q4</v>
          </cell>
          <cell r="G92" t="str">
            <v>(E23)</v>
          </cell>
          <cell r="H92">
            <v>2.1100000000000001E-2</v>
          </cell>
          <cell r="I92" t="str">
            <v>jam</v>
          </cell>
        </row>
        <row r="93">
          <cell r="C93" t="str">
            <v xml:space="preserve">Rp.  </v>
          </cell>
          <cell r="D93">
            <v>3899.3</v>
          </cell>
          <cell r="E93" t="str">
            <v xml:space="preserve"> / liter.</v>
          </cell>
          <cell r="L93" t="str">
            <v>1.</v>
          </cell>
          <cell r="N93" t="str">
            <v xml:space="preserve">Agregat Kasar    </v>
          </cell>
          <cell r="O93" t="str">
            <v>(M03)</v>
          </cell>
          <cell r="P93" t="str">
            <v>M3</v>
          </cell>
          <cell r="Q93">
            <v>0.48</v>
          </cell>
          <cell r="R93">
            <v>0</v>
          </cell>
          <cell r="U93">
            <v>0</v>
          </cell>
        </row>
        <row r="94">
          <cell r="A94" t="str">
            <v xml:space="preserve">   2.e.</v>
          </cell>
          <cell r="C94" t="str">
            <v>ALAT BANTU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J94" t="str">
            <v xml:space="preserve"> Lump Sum</v>
          </cell>
          <cell r="L94" t="str">
            <v>2.</v>
          </cell>
          <cell r="N94" t="str">
            <v xml:space="preserve">Agregat Halus  </v>
          </cell>
          <cell r="O94" t="str">
            <v>(M04)</v>
          </cell>
          <cell r="P94" t="str">
            <v>M3</v>
          </cell>
          <cell r="Q94">
            <v>0.36</v>
          </cell>
          <cell r="R94">
            <v>0</v>
          </cell>
          <cell r="U94">
            <v>0</v>
          </cell>
        </row>
        <row r="95">
          <cell r="C95" t="str">
            <v>Diperlukan  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Sirtu</v>
          </cell>
          <cell r="O95" t="str">
            <v>(M16)</v>
          </cell>
          <cell r="P95" t="str">
            <v>M3</v>
          </cell>
          <cell r="Q95">
            <v>0.36</v>
          </cell>
          <cell r="R95">
            <v>2800</v>
          </cell>
          <cell r="U95">
            <v>1008</v>
          </cell>
        </row>
        <row r="96">
          <cell r="C96" t="str">
            <v>- Kereta dorong</v>
          </cell>
          <cell r="D96" t="str">
            <v>= 5 buah</v>
          </cell>
        </row>
        <row r="97">
          <cell r="A97" t="str">
            <v>4.</v>
          </cell>
          <cell r="C97" t="str">
            <v>- Sekop</v>
          </cell>
          <cell r="D97" t="str">
            <v>= 10 buah</v>
          </cell>
          <cell r="L97" t="str">
            <v>1.</v>
          </cell>
          <cell r="N97" t="str">
            <v>Asp. Sprayer</v>
          </cell>
          <cell r="O97" t="str">
            <v>(E03)</v>
          </cell>
          <cell r="P97" t="str">
            <v>Jam</v>
          </cell>
          <cell r="Q97">
            <v>3.0000000000000001E-3</v>
          </cell>
          <cell r="R97">
            <v>24722.73</v>
          </cell>
          <cell r="U97">
            <v>74.17</v>
          </cell>
        </row>
        <row r="98">
          <cell r="C98" t="str">
            <v>- Garpu</v>
          </cell>
          <cell r="D98" t="str">
            <v>= 10 buah</v>
          </cell>
          <cell r="L98" t="str">
            <v>2.</v>
          </cell>
          <cell r="N98" t="str">
            <v>Compressor</v>
          </cell>
          <cell r="O98" t="str">
            <v>(E05)</v>
          </cell>
          <cell r="P98" t="str">
            <v>Jam</v>
          </cell>
          <cell r="Q98">
            <v>6.3E-3</v>
          </cell>
          <cell r="R98">
            <v>47770.43</v>
          </cell>
          <cell r="U98">
            <v>300.95</v>
          </cell>
        </row>
        <row r="99">
          <cell r="L99" t="str">
            <v>3.</v>
          </cell>
          <cell r="N99" t="str">
            <v>Dump Truck</v>
          </cell>
          <cell r="O99" t="str">
            <v>(E08)</v>
          </cell>
          <cell r="P99" t="str">
            <v>Jam</v>
          </cell>
          <cell r="Q99" t="str">
            <v xml:space="preserve">JUMLAH HARGA BAHAN   </v>
          </cell>
          <cell r="R99">
            <v>82267.929999999993</v>
          </cell>
          <cell r="U99">
            <v>1008</v>
          </cell>
        </row>
        <row r="100">
          <cell r="A100" t="str">
            <v xml:space="preserve">   3.</v>
          </cell>
          <cell r="C100" t="str">
            <v>TENAGA</v>
          </cell>
        </row>
        <row r="101">
          <cell r="C101" t="str">
            <v>Produksi menentukan : WHEEL LOADER</v>
          </cell>
          <cell r="G101" t="str">
            <v>Q1</v>
          </cell>
          <cell r="H101">
            <v>56.024999999999999</v>
          </cell>
          <cell r="I101" t="str">
            <v>M3/jam</v>
          </cell>
          <cell r="L101" t="str">
            <v>C.</v>
          </cell>
          <cell r="N101" t="str">
            <v>PERALATAN</v>
          </cell>
        </row>
        <row r="102">
          <cell r="C102" t="str">
            <v>Produksi agregat / hari  =  Tk x Q1</v>
          </cell>
          <cell r="G102" t="str">
            <v>Qt</v>
          </cell>
          <cell r="H102">
            <v>392.17500000000001</v>
          </cell>
          <cell r="I102" t="str">
            <v>M3</v>
          </cell>
        </row>
        <row r="103">
          <cell r="C103" t="str">
            <v>Kebutuhan tenaga :</v>
          </cell>
          <cell r="L103" t="str">
            <v>1.</v>
          </cell>
          <cell r="N103" t="str">
            <v>Wheel Loader</v>
          </cell>
          <cell r="O103" t="str">
            <v>(E15)</v>
          </cell>
          <cell r="P103" t="str">
            <v>jam</v>
          </cell>
          <cell r="Q103">
            <v>1.78E-2</v>
          </cell>
          <cell r="R103">
            <v>143049.93</v>
          </cell>
          <cell r="U103">
            <v>2546.29</v>
          </cell>
        </row>
        <row r="104">
          <cell r="C104" t="str">
            <v>Didapat Harga Satuan Pekerjaan :</v>
          </cell>
          <cell r="D104" t="str">
            <v>- Pekerja</v>
          </cell>
          <cell r="G104" t="str">
            <v>P</v>
          </cell>
          <cell r="H104">
            <v>25</v>
          </cell>
          <cell r="I104" t="str">
            <v>orang</v>
          </cell>
          <cell r="L104" t="str">
            <v>2.</v>
          </cell>
          <cell r="N104" t="str">
            <v>Dump Truck</v>
          </cell>
          <cell r="O104" t="str">
            <v>(E09)</v>
          </cell>
          <cell r="P104" t="str">
            <v>jam</v>
          </cell>
          <cell r="Q104">
            <v>9.0399999999999994E-2</v>
          </cell>
          <cell r="R104">
            <v>102654.43</v>
          </cell>
          <cell r="U104">
            <v>9279.9599999999991</v>
          </cell>
        </row>
        <row r="105">
          <cell r="D105" t="str">
            <v>- Mandor</v>
          </cell>
          <cell r="G105" t="str">
            <v>M</v>
          </cell>
          <cell r="H105">
            <v>1</v>
          </cell>
          <cell r="I105" t="str">
            <v>orang</v>
          </cell>
          <cell r="L105" t="str">
            <v>3.</v>
          </cell>
          <cell r="N105" t="str">
            <v xml:space="preserve">Pedestrian Roller </v>
          </cell>
          <cell r="O105" t="str">
            <v>(E24)</v>
          </cell>
          <cell r="P105" t="str">
            <v>jam</v>
          </cell>
          <cell r="Q105">
            <v>3.61E-2</v>
          </cell>
          <cell r="R105">
            <v>28134.059999999998</v>
          </cell>
          <cell r="U105">
            <v>1015.64</v>
          </cell>
        </row>
        <row r="106">
          <cell r="L106" t="str">
            <v>4.</v>
          </cell>
          <cell r="N106" t="str">
            <v>Water Tanker</v>
          </cell>
          <cell r="O106" t="str">
            <v>(E23)</v>
          </cell>
          <cell r="P106" t="str">
            <v>jam</v>
          </cell>
          <cell r="Q106">
            <v>2.1100000000000001E-2</v>
          </cell>
          <cell r="R106">
            <v>82267.929999999993</v>
          </cell>
          <cell r="U106">
            <v>1735.85</v>
          </cell>
        </row>
        <row r="107">
          <cell r="C107" t="str">
            <v>Koefisien tenaga / M3   :</v>
          </cell>
          <cell r="D107">
            <v>154031.97</v>
          </cell>
          <cell r="E107" t="str">
            <v xml:space="preserve"> / M3</v>
          </cell>
          <cell r="L107" t="str">
            <v>5.</v>
          </cell>
          <cell r="N107" t="str">
            <v>Alat Bantu</v>
          </cell>
          <cell r="P107" t="str">
            <v>Ls</v>
          </cell>
          <cell r="Q107">
            <v>1</v>
          </cell>
          <cell r="R107">
            <v>2000</v>
          </cell>
          <cell r="U107">
            <v>2000</v>
          </cell>
        </row>
        <row r="108">
          <cell r="D108" t="str">
            <v>- Pekerja</v>
          </cell>
          <cell r="E108" t="str">
            <v>= (Tk x P) : Qt</v>
          </cell>
          <cell r="G108" t="str">
            <v>(L01)</v>
          </cell>
          <cell r="H108">
            <v>0.44619999999999999</v>
          </cell>
          <cell r="I108" t="str">
            <v>jam</v>
          </cell>
          <cell r="L108" t="str">
            <v>F.</v>
          </cell>
          <cell r="N108" t="str">
            <v>HARGA SATUAN PEKERJAAN  ( D + E )</v>
          </cell>
          <cell r="U108">
            <v>4614.92</v>
          </cell>
        </row>
        <row r="109">
          <cell r="D109" t="str">
            <v>- Mandor</v>
          </cell>
          <cell r="E109" t="str">
            <v>= (Tk x M) : Qt</v>
          </cell>
          <cell r="G109" t="str">
            <v>(L03)</v>
          </cell>
          <cell r="H109">
            <v>1.78E-2</v>
          </cell>
          <cell r="I109" t="str">
            <v>jam</v>
          </cell>
        </row>
        <row r="110">
          <cell r="L110" t="str">
            <v>Note: 1</v>
          </cell>
          <cell r="N110" t="str">
            <v>SATUAN dapat berdasarkan atas jam operasi untuk Tenaga Kerja dan Peralatan, volume dan/atau ukuran berat untuk bahan-bahan</v>
          </cell>
          <cell r="Q110" t="str">
            <v xml:space="preserve">JUMLAH HARGA PERALATAN   </v>
          </cell>
          <cell r="U110">
            <v>16577.739999999998</v>
          </cell>
        </row>
        <row r="111">
          <cell r="L111" t="str">
            <v>D.</v>
          </cell>
          <cell r="N111" t="str">
            <v>JUMLAH HARGA TENAGA, BAHAN DAN PERALATAN  ( A + B + C )</v>
          </cell>
          <cell r="U111">
            <v>18764.809999999998</v>
          </cell>
        </row>
        <row r="112">
          <cell r="L112" t="str">
            <v>E.</v>
          </cell>
          <cell r="N112" t="str">
            <v>OVERHEAD &amp; PROFIT</v>
          </cell>
          <cell r="P112">
            <v>10</v>
          </cell>
          <cell r="Q112" t="str">
            <v>%  x  D</v>
          </cell>
          <cell r="U112">
            <v>1876.48</v>
          </cell>
        </row>
        <row r="113">
          <cell r="L113" t="str">
            <v>F.</v>
          </cell>
          <cell r="N113" t="str">
            <v>HARGA SATUAN PEKERJAAN  ( D + E )</v>
          </cell>
          <cell r="U113">
            <v>20641.289999999997</v>
          </cell>
        </row>
        <row r="114">
          <cell r="N114" t="str">
            <v>dan biaya-biaya lainnya.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  <cell r="L115" t="str">
            <v>Note: 1</v>
          </cell>
          <cell r="N115" t="str">
            <v>SATUAN dapat berdasarkan atas jam operasi untuk Tenaga Kerja dan Peralatan, volume dan/atau ukuran berat untuk bahan</v>
          </cell>
          <cell r="T115" t="str">
            <v>Analisa EI-634</v>
          </cell>
        </row>
        <row r="116">
          <cell r="A116" t="str">
            <v>JENIS PEKERJAAN</v>
          </cell>
          <cell r="D116" t="str">
            <v>:  Lapis Perekat</v>
          </cell>
          <cell r="J116" t="str">
            <v>Analisa El-85</v>
          </cell>
          <cell r="L116">
            <v>2</v>
          </cell>
          <cell r="N116" t="str">
            <v>Kuantitas satuan adalah kuantitas setiap komponen untuk menyelesaikan satu satuan pekerjaan dari nomor mata pembayaran</v>
          </cell>
        </row>
        <row r="117">
          <cell r="A117" t="str">
            <v>SATUAN PEMBAYARAN</v>
          </cell>
          <cell r="D117" t="str">
            <v>:  LITER</v>
          </cell>
          <cell r="H117" t="str">
            <v xml:space="preserve">         URAIAN ANALISA HARGA SATUAN</v>
          </cell>
          <cell r="L117">
            <v>3</v>
          </cell>
          <cell r="N117" t="str">
            <v>Biaya satuan untuk peralatan sudah termasuk bahan bakar, bahan habis dipakai dan operator.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  <cell r="L118">
            <v>4</v>
          </cell>
          <cell r="N118" t="str">
            <v>Biaya satuan sudah termasuk pengeluaran untuk seluruh pajak yang berkaitan (tetapi tidak termasuk PPN yang dibayar dari ontrak )</v>
          </cell>
        </row>
        <row r="119">
          <cell r="J119" t="str">
            <v>Berlanjut ke halaman berikut</v>
          </cell>
        </row>
        <row r="120">
          <cell r="A120" t="str">
            <v>ITEM PEMBAYARAN NO.</v>
          </cell>
          <cell r="C120" t="str">
            <v>U R A I A N</v>
          </cell>
          <cell r="D120" t="str">
            <v>:  8.1(1)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Analisa EI-811</v>
          </cell>
          <cell r="L120" t="str">
            <v>PROYEK</v>
          </cell>
          <cell r="O120" t="str">
            <v>:  Peningkatan Jalan dan Jembatan Wilayah Barat</v>
          </cell>
          <cell r="T120" t="str">
            <v>Analisa EI-817</v>
          </cell>
        </row>
        <row r="121">
          <cell r="A121" t="str">
            <v>JENIS PEKERJAAN</v>
          </cell>
          <cell r="C121" t="str">
            <v>U R A I A N</v>
          </cell>
          <cell r="D121" t="str">
            <v>:  Pondasi Agregat Kls. A Untuk Pek Minor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  <cell r="L121" t="str">
            <v>No. PAKET KONTRAK</v>
          </cell>
          <cell r="O121" t="str">
            <v xml:space="preserve">: </v>
          </cell>
        </row>
        <row r="122">
          <cell r="A122" t="str">
            <v>SATUAN PEMBAYARAN</v>
          </cell>
          <cell r="D122" t="str">
            <v>:  M3</v>
          </cell>
          <cell r="H122" t="str">
            <v xml:space="preserve">         URAIAN ANALISA HARGA SATUAN</v>
          </cell>
          <cell r="L122" t="str">
            <v>FORMULIR STANDAR UNTUK</v>
          </cell>
          <cell r="O122" t="str">
            <v>:  Pembangunan Jembatan Beton Tersebar di Wilayah Barat</v>
          </cell>
        </row>
        <row r="123">
          <cell r="A123" t="str">
            <v>I.</v>
          </cell>
          <cell r="C123" t="str">
            <v>ASUMSI</v>
          </cell>
          <cell r="J123" t="str">
            <v>Lanjutan</v>
          </cell>
          <cell r="L123" t="str">
            <v>PEREKAMAN ANALISA MASING-MASING HARGA SATUAN</v>
          </cell>
          <cell r="O123" t="str">
            <v>:  Lampung Timur</v>
          </cell>
        </row>
        <row r="124">
          <cell r="A124">
            <v>1</v>
          </cell>
          <cell r="C124" t="str">
            <v>Menggunakan alat berat (cara mekanik)</v>
          </cell>
          <cell r="L124" t="str">
            <v>ITEM PEMBAYARAN NO.</v>
          </cell>
          <cell r="O124" t="str">
            <v>:  6.3 (4)</v>
          </cell>
        </row>
        <row r="125">
          <cell r="A125" t="str">
            <v>No.</v>
          </cell>
          <cell r="C125" t="str">
            <v>U R A I A N</v>
          </cell>
          <cell r="G125" t="str">
            <v>KODE</v>
          </cell>
          <cell r="H125" t="str">
            <v>KOEF.</v>
          </cell>
          <cell r="I125" t="str">
            <v>SATUAN</v>
          </cell>
          <cell r="J125" t="str">
            <v>KETERANGAN</v>
          </cell>
          <cell r="L125" t="str">
            <v>JENIS PEKERJAAN</v>
          </cell>
          <cell r="O125" t="str">
            <v>:  Asphalt Treated Base (ATB)</v>
          </cell>
        </row>
        <row r="126">
          <cell r="A126">
            <v>3</v>
          </cell>
          <cell r="C126" t="str">
            <v>Jarak rata-rata Base Camp ke lokasi pekerjaan</v>
          </cell>
          <cell r="G126" t="str">
            <v>L</v>
          </cell>
          <cell r="H126">
            <v>1</v>
          </cell>
          <cell r="I126" t="str">
            <v>KM</v>
          </cell>
          <cell r="L126" t="str">
            <v>PROYEK</v>
          </cell>
          <cell r="O126" t="str">
            <v>:  Peningkatan Jalan dan Jembatan Wilayah Barat</v>
          </cell>
        </row>
        <row r="127">
          <cell r="A127">
            <v>4</v>
          </cell>
          <cell r="C127" t="str">
            <v>Jam kerja efektif per-hari</v>
          </cell>
          <cell r="G127" t="str">
            <v>Tk</v>
          </cell>
          <cell r="H127">
            <v>7</v>
          </cell>
          <cell r="I127" t="str">
            <v>Jam</v>
          </cell>
          <cell r="L127" t="str">
            <v>No. PAKET KONTRAK</v>
          </cell>
          <cell r="O127" t="str">
            <v xml:space="preserve">: </v>
          </cell>
        </row>
        <row r="128">
          <cell r="A128" t="str">
            <v>4.</v>
          </cell>
          <cell r="C128" t="str">
            <v>HARGA DASAR SATUAN UPAH, BAHAN DAN ALAT</v>
          </cell>
          <cell r="G128" t="str">
            <v>Fh</v>
          </cell>
          <cell r="H128">
            <v>1.1000000000000001</v>
          </cell>
          <cell r="I128" t="str">
            <v>-</v>
          </cell>
          <cell r="L128" t="str">
            <v>PEKERJAAN</v>
          </cell>
          <cell r="O128" t="str">
            <v>:  Pembangunan Jembatan Beton Tersebar di Wilayah Barat</v>
          </cell>
        </row>
        <row r="129">
          <cell r="A129">
            <v>6</v>
          </cell>
          <cell r="C129" t="str">
            <v>Lihat lampiran.</v>
          </cell>
          <cell r="G129" t="str">
            <v>t</v>
          </cell>
          <cell r="H129">
            <v>0.15</v>
          </cell>
          <cell r="I129" t="str">
            <v>M</v>
          </cell>
          <cell r="L129" t="str">
            <v>KABUPATEN</v>
          </cell>
          <cell r="O129" t="str">
            <v>:  Lampung Timur</v>
          </cell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A130">
            <v>6</v>
          </cell>
          <cell r="C130" t="str">
            <v>- Aspal AC-10 atau AC-20</v>
          </cell>
          <cell r="G130" t="str">
            <v>As</v>
          </cell>
          <cell r="H130">
            <v>77</v>
          </cell>
          <cell r="I130" t="str">
            <v>%</v>
          </cell>
          <cell r="J130" t="str">
            <v xml:space="preserve"> 100 bagian</v>
          </cell>
          <cell r="L130" t="str">
            <v>ITEM PEMBAYARAN NO.</v>
          </cell>
          <cell r="N130" t="str">
            <v>KOMPONEN</v>
          </cell>
          <cell r="O130" t="str">
            <v>:  8.1 (7)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A131" t="str">
            <v>5.</v>
          </cell>
          <cell r="C131" t="str">
            <v>ANALISA HARGA SATUAN PEKERJAAN</v>
          </cell>
          <cell r="G131" t="str">
            <v>K</v>
          </cell>
          <cell r="H131">
            <v>23</v>
          </cell>
          <cell r="I131" t="str">
            <v>%</v>
          </cell>
          <cell r="J131" t="str">
            <v xml:space="preserve"> 30 bagian</v>
          </cell>
          <cell r="L131" t="str">
            <v>JENIS PEKERJAAN</v>
          </cell>
          <cell r="O131" t="str">
            <v>:  Penetrasi Macadam Utk.Pek.Minor</v>
          </cell>
          <cell r="R131" t="str">
            <v>(Rp.)</v>
          </cell>
          <cell r="S131" t="str">
            <v>(Rp.)</v>
          </cell>
        </row>
        <row r="132">
          <cell r="A132">
            <v>7</v>
          </cell>
          <cell r="C132" t="str">
            <v>Lihat perhitungan dalam FORMULIR STANDAR UNTUK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  <cell r="L132" t="str">
            <v>SATUAN PEMBAYARAN</v>
          </cell>
          <cell r="O132" t="str">
            <v>:  M3</v>
          </cell>
        </row>
        <row r="133">
          <cell r="C133" t="str">
            <v>PEREKAMAN ANALISA MASING-MASING HARGA</v>
          </cell>
          <cell r="D133" t="str">
            <v>- Batu pecah 10/15</v>
          </cell>
          <cell r="G133" t="str">
            <v>D1</v>
          </cell>
          <cell r="H133">
            <v>1.0484</v>
          </cell>
          <cell r="I133" t="str">
            <v>Kg / liter</v>
          </cell>
        </row>
        <row r="134">
          <cell r="C134" t="str">
            <v>SATUAN.</v>
          </cell>
          <cell r="D134" t="str">
            <v>- Batu pecah 5/7</v>
          </cell>
          <cell r="G134" t="str">
            <v>D2</v>
          </cell>
          <cell r="H134">
            <v>0.8</v>
          </cell>
          <cell r="I134" t="str">
            <v>Kg / liter</v>
          </cell>
          <cell r="L134" t="str">
            <v>A.</v>
          </cell>
          <cell r="N134" t="str">
            <v>TENAGA</v>
          </cell>
        </row>
        <row r="135">
          <cell r="A135">
            <v>8</v>
          </cell>
          <cell r="C135" t="str">
            <v>Didapat Harga Satuan Pekerjaan :</v>
          </cell>
          <cell r="Q135" t="str">
            <v>PERKIRAAN</v>
          </cell>
          <cell r="R135" t="str">
            <v>HARGA</v>
          </cell>
          <cell r="S135" t="str">
            <v>JUMLAH</v>
          </cell>
        </row>
        <row r="136">
          <cell r="A136">
            <v>1</v>
          </cell>
          <cell r="C136" t="str">
            <v>diterima di lokasi pekerjaan</v>
          </cell>
          <cell r="L136" t="str">
            <v>NO.</v>
          </cell>
          <cell r="N136" t="str">
            <v>KOMPONEN</v>
          </cell>
          <cell r="O136" t="str">
            <v>(L01)</v>
          </cell>
          <cell r="P136" t="str">
            <v>SATUAN</v>
          </cell>
          <cell r="Q136" t="str">
            <v>KUANTITAS</v>
          </cell>
          <cell r="R136" t="str">
            <v>SATUAN</v>
          </cell>
          <cell r="S136" t="str">
            <v>HARGA</v>
          </cell>
          <cell r="U136">
            <v>1616.5</v>
          </cell>
        </row>
        <row r="137">
          <cell r="C137" t="str">
            <v xml:space="preserve">Rp.  </v>
          </cell>
          <cell r="D137">
            <v>19906.95</v>
          </cell>
          <cell r="E137" t="str">
            <v xml:space="preserve"> / M3.</v>
          </cell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 t="str">
            <v>(Rp.)</v>
          </cell>
          <cell r="S137" t="str">
            <v>(Rp.)</v>
          </cell>
          <cell r="U137">
            <v>330</v>
          </cell>
        </row>
        <row r="138">
          <cell r="A138" t="str">
            <v>II.</v>
          </cell>
          <cell r="C138" t="str">
            <v>URUTAN KERJA</v>
          </cell>
        </row>
        <row r="139">
          <cell r="A139">
            <v>1</v>
          </cell>
          <cell r="C139" t="str">
            <v>Aspal dan Minyak Flux dicampur dan dipanaskan</v>
          </cell>
        </row>
        <row r="140">
          <cell r="A140">
            <v>3</v>
          </cell>
          <cell r="C140" t="str">
            <v>sehingga menjadi campuran aspal cair</v>
          </cell>
          <cell r="L140" t="str">
            <v>A.</v>
          </cell>
          <cell r="N140" t="str">
            <v>TENAGA</v>
          </cell>
          <cell r="Q140" t="str">
            <v xml:space="preserve">JUMLAH HARGA TENAGA   </v>
          </cell>
          <cell r="U140">
            <v>1946.5</v>
          </cell>
        </row>
        <row r="141">
          <cell r="A141">
            <v>2</v>
          </cell>
          <cell r="C141" t="str">
            <v>Permukaan yang akan dilapis dibersihkan dari debu</v>
          </cell>
        </row>
        <row r="142">
          <cell r="C142" t="str">
            <v>dan kotoran dengan Air Compressor</v>
          </cell>
          <cell r="L142" t="str">
            <v>1.</v>
          </cell>
          <cell r="N142" t="str">
            <v>Pekerja Biasa</v>
          </cell>
          <cell r="O142" t="str">
            <v>(L01)</v>
          </cell>
          <cell r="P142" t="str">
            <v>Jam</v>
          </cell>
          <cell r="Q142">
            <v>7.2289000000000003</v>
          </cell>
          <cell r="R142">
            <v>2500</v>
          </cell>
          <cell r="U142">
            <v>18072.25</v>
          </cell>
        </row>
        <row r="143">
          <cell r="A143">
            <v>3</v>
          </cell>
          <cell r="C143" t="str">
            <v>Campuran aspal cair disemprotkan dengan Asphalt</v>
          </cell>
          <cell r="L143" t="str">
            <v>2.</v>
          </cell>
          <cell r="N143" t="str">
            <v>Mandor</v>
          </cell>
          <cell r="O143" t="str">
            <v>(L03)</v>
          </cell>
          <cell r="P143" t="str">
            <v>Jam</v>
          </cell>
          <cell r="Q143">
            <v>0.16059999999999999</v>
          </cell>
          <cell r="R143">
            <v>3571.43</v>
          </cell>
          <cell r="U143">
            <v>573.57000000000005</v>
          </cell>
        </row>
        <row r="144">
          <cell r="A144" t="str">
            <v>III.</v>
          </cell>
          <cell r="C144" t="str">
            <v>Sprayer ke atas permukaan yang akan dilapis.</v>
          </cell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A145">
            <v>4</v>
          </cell>
          <cell r="C145" t="str">
            <v>Angkutan Aspal &amp; Minyak Flux menggunakan Dump Truck</v>
          </cell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 t="str">
            <v xml:space="preserve">JUMLAH HARGA TENAGA   </v>
          </cell>
          <cell r="R146">
            <v>100</v>
          </cell>
          <cell r="U146">
            <v>18645.82</v>
          </cell>
        </row>
        <row r="147">
          <cell r="A147" t="str">
            <v>III.</v>
          </cell>
          <cell r="C147" t="str">
            <v>PEMAKAIAN BAHAN, ALAT DAN TENAGA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48"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  <cell r="L148" t="str">
            <v>B.</v>
          </cell>
          <cell r="N148" t="str">
            <v>BAHAN</v>
          </cell>
        </row>
        <row r="149">
          <cell r="A149" t="str">
            <v xml:space="preserve">   1.</v>
          </cell>
          <cell r="C149" t="str">
            <v>BAHAN</v>
          </cell>
        </row>
        <row r="150">
          <cell r="A150" t="str">
            <v xml:space="preserve">   2.a.</v>
          </cell>
          <cell r="C150" t="str">
            <v>Untuk mendapatkan 1 liter Lapis Resap Pengikat</v>
          </cell>
          <cell r="G150" t="str">
            <v>(E08)</v>
          </cell>
          <cell r="L150" t="str">
            <v>1.</v>
          </cell>
          <cell r="N150" t="str">
            <v>Agregat Kasar</v>
          </cell>
          <cell r="O150" t="str">
            <v>(M03a)</v>
          </cell>
          <cell r="P150" t="str">
            <v>M3</v>
          </cell>
          <cell r="Q150">
            <v>1.2833000000000001</v>
          </cell>
          <cell r="R150">
            <v>120100</v>
          </cell>
          <cell r="U150">
            <v>154124.32999999999</v>
          </cell>
        </row>
        <row r="151">
          <cell r="C151" t="str">
            <v>diperlukan :</v>
          </cell>
          <cell r="D151" t="str">
            <v>( 1 liter x Fh )</v>
          </cell>
          <cell r="G151" t="str">
            <v>PC</v>
          </cell>
          <cell r="H151">
            <v>1.1000000000000001</v>
          </cell>
          <cell r="I151" t="str">
            <v>liter</v>
          </cell>
          <cell r="J151" t="str">
            <v xml:space="preserve"> campuran</v>
          </cell>
          <cell r="L151" t="str">
            <v>2.</v>
          </cell>
          <cell r="N151" t="str">
            <v>Agregat Halus</v>
          </cell>
          <cell r="O151" t="str">
            <v>(M04a)</v>
          </cell>
          <cell r="P151" t="str">
            <v>M3</v>
          </cell>
          <cell r="Q151">
            <v>0.30559999999999998</v>
          </cell>
          <cell r="R151">
            <v>115100</v>
          </cell>
          <cell r="U151">
            <v>35174.559999999998</v>
          </cell>
        </row>
        <row r="152">
          <cell r="C152" t="str">
            <v>Faktor Efisiensi alat</v>
          </cell>
          <cell r="G152" t="str">
            <v>Fa</v>
          </cell>
          <cell r="H152">
            <v>0.83</v>
          </cell>
          <cell r="I152" t="str">
            <v>-</v>
          </cell>
          <cell r="L152" t="str">
            <v>3</v>
          </cell>
          <cell r="N152" t="str">
            <v>Aspal</v>
          </cell>
          <cell r="O152" t="str">
            <v>(M10)</v>
          </cell>
          <cell r="P152" t="str">
            <v>Kg</v>
          </cell>
          <cell r="Q152">
            <v>109.2</v>
          </cell>
          <cell r="R152">
            <v>3500</v>
          </cell>
          <cell r="U152">
            <v>382200</v>
          </cell>
        </row>
        <row r="153">
          <cell r="A153" t="str">
            <v xml:space="preserve">   1.a.</v>
          </cell>
          <cell r="C153" t="str">
            <v>Aspal</v>
          </cell>
          <cell r="D153" t="str">
            <v>=   As x PC x D1</v>
          </cell>
          <cell r="G153" t="str">
            <v>(M10)</v>
          </cell>
          <cell r="H153">
            <v>0.88800000000000001</v>
          </cell>
          <cell r="I153" t="str">
            <v>Kg</v>
          </cell>
          <cell r="L153">
            <v>4</v>
          </cell>
          <cell r="N153" t="str">
            <v>Agregat Penutup (pasir)</v>
          </cell>
          <cell r="O153" t="str">
            <v>(M01)</v>
          </cell>
          <cell r="P153" t="str">
            <v>M3</v>
          </cell>
          <cell r="Q153">
            <v>0.18440000000000001</v>
          </cell>
          <cell r="R153">
            <v>48500</v>
          </cell>
          <cell r="U153">
            <v>8943.4</v>
          </cell>
        </row>
        <row r="154">
          <cell r="A154" t="str">
            <v xml:space="preserve">   1.b.</v>
          </cell>
          <cell r="C154" t="str">
            <v>Kerosene</v>
          </cell>
          <cell r="D154" t="str">
            <v>=   K x PC</v>
          </cell>
          <cell r="G154" t="str">
            <v>(M11)</v>
          </cell>
          <cell r="H154">
            <v>0.253</v>
          </cell>
          <cell r="I154" t="str">
            <v>liter</v>
          </cell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C155" t="str">
            <v>Waktu Siklus :</v>
          </cell>
          <cell r="G155" t="str">
            <v>Ts2</v>
          </cell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A156" t="str">
            <v xml:space="preserve">   2.</v>
          </cell>
          <cell r="C156" t="str">
            <v>ALAT</v>
          </cell>
          <cell r="G156" t="str">
            <v>T1</v>
          </cell>
          <cell r="H156">
            <v>1.5</v>
          </cell>
          <cell r="I156" t="str">
            <v>menit</v>
          </cell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 t="str">
            <v xml:space="preserve">JUMLAH HARGA BAHAN   </v>
          </cell>
          <cell r="R156">
            <v>102654.43</v>
          </cell>
          <cell r="U156">
            <v>580442.29</v>
          </cell>
        </row>
        <row r="157">
          <cell r="A157" t="str">
            <v xml:space="preserve">   2.a.</v>
          </cell>
          <cell r="C157" t="str">
            <v>ASPHALT SPRAYER</v>
          </cell>
          <cell r="G157" t="str">
            <v>(E03)</v>
          </cell>
          <cell r="H157">
            <v>1.2</v>
          </cell>
          <cell r="I157" t="str">
            <v>menit</v>
          </cell>
          <cell r="L157" t="str">
            <v>5.</v>
          </cell>
          <cell r="N157" t="str">
            <v xml:space="preserve">Asphalt Finisher     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C158" t="str">
            <v>Kapasitas alat</v>
          </cell>
          <cell r="G158" t="str">
            <v>V</v>
          </cell>
          <cell r="H158">
            <v>800</v>
          </cell>
          <cell r="I158" t="str">
            <v>liter</v>
          </cell>
          <cell r="L158" t="str">
            <v>C.</v>
          </cell>
          <cell r="N158" t="str">
            <v>PERALATAN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C159" t="str">
            <v>Faktor efisiensi alat</v>
          </cell>
          <cell r="G159" t="str">
            <v>Fa</v>
          </cell>
          <cell r="H159">
            <v>0.83</v>
          </cell>
          <cell r="I159" t="str">
            <v>-</v>
          </cell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C160" t="str">
            <v>Waktu Siklus (termasuk proses pemanasan)</v>
          </cell>
          <cell r="G160" t="str">
            <v>Ts</v>
          </cell>
          <cell r="H160">
            <v>2</v>
          </cell>
          <cell r="I160" t="str">
            <v>Jam</v>
          </cell>
          <cell r="L160" t="str">
            <v>1.</v>
          </cell>
          <cell r="N160" t="str">
            <v>Wheel Loader</v>
          </cell>
          <cell r="O160" t="str">
            <v>(E15)</v>
          </cell>
          <cell r="P160" t="str">
            <v>Jam</v>
          </cell>
          <cell r="Q160">
            <v>0</v>
          </cell>
          <cell r="R160">
            <v>143049.93</v>
          </cell>
          <cell r="U160">
            <v>0</v>
          </cell>
        </row>
        <row r="161">
          <cell r="C161" t="str">
            <v>Kap. Prod. / jam =</v>
          </cell>
          <cell r="D161" t="str">
            <v>V x Fa</v>
          </cell>
          <cell r="G161" t="str">
            <v>Q1</v>
          </cell>
          <cell r="H161">
            <v>332</v>
          </cell>
          <cell r="I161" t="str">
            <v>liter</v>
          </cell>
          <cell r="J161" t="str">
            <v>Berlanjut ke hal. berikut</v>
          </cell>
          <cell r="L161" t="str">
            <v>2.</v>
          </cell>
          <cell r="N161" t="str">
            <v>Dump Truck</v>
          </cell>
          <cell r="O161" t="str">
            <v>(E09)</v>
          </cell>
          <cell r="P161" t="str">
            <v>Jam</v>
          </cell>
          <cell r="Q161">
            <v>5.9200000000000003E-2</v>
          </cell>
          <cell r="R161">
            <v>102654.43</v>
          </cell>
          <cell r="U161">
            <v>6077.14</v>
          </cell>
        </row>
        <row r="162">
          <cell r="D162" t="str">
            <v>Ts</v>
          </cell>
          <cell r="L162" t="str">
            <v>3.</v>
          </cell>
          <cell r="N162" t="str">
            <v>3-Wheel Roller</v>
          </cell>
          <cell r="O162" t="str">
            <v>[E16]</v>
          </cell>
          <cell r="P162" t="str">
            <v>Jam</v>
          </cell>
          <cell r="Q162">
            <v>8.0299999999999996E-2</v>
          </cell>
          <cell r="R162">
            <v>70179.929999999993</v>
          </cell>
          <cell r="U162">
            <v>5635.45</v>
          </cell>
        </row>
        <row r="163">
          <cell r="C163" t="str">
            <v>Koefisien Alat / Ltr</v>
          </cell>
          <cell r="D163" t="str">
            <v xml:space="preserve"> =  1  :  Q1</v>
          </cell>
          <cell r="G163" t="str">
            <v>(E03)</v>
          </cell>
          <cell r="H163">
            <v>3.0000000000000001E-3</v>
          </cell>
          <cell r="I163" t="str">
            <v>Jam</v>
          </cell>
          <cell r="L163" t="str">
            <v>4.</v>
          </cell>
          <cell r="N163" t="str">
            <v>Asp. Sprayer</v>
          </cell>
          <cell r="O163" t="str">
            <v>(E03)</v>
          </cell>
          <cell r="P163" t="str">
            <v>Jam</v>
          </cell>
          <cell r="Q163">
            <v>0.31019999999999998</v>
          </cell>
          <cell r="R163">
            <v>24722.73</v>
          </cell>
          <cell r="U163">
            <v>7668.99</v>
          </cell>
        </row>
        <row r="164">
          <cell r="L164" t="str">
            <v>5.</v>
          </cell>
          <cell r="N164" t="str">
            <v>Alat bantu</v>
          </cell>
          <cell r="P164" t="str">
            <v>Ls</v>
          </cell>
          <cell r="Q164">
            <v>1</v>
          </cell>
          <cell r="R164">
            <v>500</v>
          </cell>
          <cell r="U164">
            <v>500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6">
          <cell r="C166" t="str">
            <v xml:space="preserve">Kapasitas alat   -----&gt;&gt;   diambil </v>
          </cell>
          <cell r="G166" t="str">
            <v>V</v>
          </cell>
          <cell r="H166">
            <v>400</v>
          </cell>
          <cell r="I166" t="str">
            <v>M2 / Jam</v>
          </cell>
        </row>
        <row r="167">
          <cell r="C167" t="str">
            <v>Aplikasi Lapis Resap Pengikat rata-rata (Spesifikasi)</v>
          </cell>
          <cell r="G167" t="str">
            <v>Ap</v>
          </cell>
          <cell r="H167">
            <v>0.4</v>
          </cell>
          <cell r="I167" t="str">
            <v>liter / M2</v>
          </cell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C168" t="str">
            <v>Kap. Prod. / jam =</v>
          </cell>
          <cell r="D168" t="str">
            <v>( V x Ap )</v>
          </cell>
          <cell r="G168" t="str">
            <v>Q2</v>
          </cell>
          <cell r="H168">
            <v>160</v>
          </cell>
          <cell r="I168" t="str">
            <v>liter</v>
          </cell>
          <cell r="L168">
            <v>2</v>
          </cell>
          <cell r="N168" t="str">
            <v>Kuantitas satuan adalah kuantitas setiap komponen untuk menyelesaikan satu satuan pekerjaan dari nomor mata pembayaran</v>
          </cell>
          <cell r="Q168" t="str">
            <v xml:space="preserve">JUMLAH HARGA PERALATAN   </v>
          </cell>
          <cell r="U168">
            <v>19881.580000000002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L169" t="str">
            <v>D.</v>
          </cell>
          <cell r="N169" t="str">
            <v>JUMLAH HARGA TENAGA, BAHAN DAN PERALATAN  ( A + B + C )</v>
          </cell>
          <cell r="U169">
            <v>618969.68999999994</v>
          </cell>
        </row>
        <row r="170">
          <cell r="L170" t="str">
            <v>E.</v>
          </cell>
          <cell r="N170" t="str">
            <v>OVERHEAD &amp; PROFIT</v>
          </cell>
          <cell r="P170">
            <v>10</v>
          </cell>
          <cell r="Q170" t="str">
            <v>%  x  D</v>
          </cell>
          <cell r="U170">
            <v>61896.97</v>
          </cell>
        </row>
        <row r="171">
          <cell r="J171" t="str">
            <v>Berlanjut ke hal. berikut.</v>
          </cell>
          <cell r="L171" t="str">
            <v>F.</v>
          </cell>
          <cell r="N171" t="str">
            <v>HARGA SATUAN PEKERJAAN  ( D + E )</v>
          </cell>
          <cell r="U171">
            <v>680866.65999999992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  <cell r="T172" t="str">
            <v>Analisa EI-661</v>
          </cell>
        </row>
        <row r="173">
          <cell r="A173" t="str">
            <v>JENIS PEKERJAAN</v>
          </cell>
          <cell r="D173" t="str">
            <v>:  Lapis Perekat</v>
          </cell>
          <cell r="J173" t="str">
            <v>Analisa El-85</v>
          </cell>
          <cell r="L173" t="str">
            <v>Note: 1</v>
          </cell>
          <cell r="N173" t="str">
            <v>SATUAN dapat berdasarkan atas jam operasi untuk Tenaga Kerja dan Peralatan, volume dan/atau ukuran berat untuk bahan</v>
          </cell>
        </row>
        <row r="174">
          <cell r="A174" t="str">
            <v>SATUAN PEMBAYARAN</v>
          </cell>
          <cell r="D174" t="str">
            <v>:  LITER</v>
          </cell>
          <cell r="H174" t="str">
            <v xml:space="preserve">         URAIAN ANALISA HARGA SATUAN</v>
          </cell>
          <cell r="L174">
            <v>2</v>
          </cell>
          <cell r="N174" t="str">
            <v>Kuantitas satuan adalah kuantitas setiap komponen untuk menyelesaikan satu satuan pekerjaan dari nomor mata pembayaran</v>
          </cell>
        </row>
        <row r="175">
          <cell r="A175" t="str">
            <v>SATUAN PEMBAYARAN</v>
          </cell>
          <cell r="D175" t="str">
            <v>:  M3</v>
          </cell>
          <cell r="H175" t="str">
            <v xml:space="preserve">         URAIAN ANALISA HARGA SATUAN</v>
          </cell>
          <cell r="J175" t="str">
            <v>Lanjutan</v>
          </cell>
          <cell r="L175">
            <v>3</v>
          </cell>
          <cell r="N175" t="str">
            <v>Biaya satuan untuk peralatan sudah termasuk bahan bakar, bahan habis dipakai dan operator.</v>
          </cell>
        </row>
        <row r="176">
          <cell r="J176" t="str">
            <v>Lanjutan</v>
          </cell>
          <cell r="L176">
            <v>4</v>
          </cell>
          <cell r="N176" t="str">
            <v>Biaya satuan sudah termasuk pengeluaran untuk seluruh pajak yang berkaitan (tetapi tidak termasuk PPN yang dibayar dari ontrak )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</row>
        <row r="178">
          <cell r="A178" t="str">
            <v>ITEM PEMBAYARAN NO.</v>
          </cell>
          <cell r="C178" t="str">
            <v>U R A I A N</v>
          </cell>
          <cell r="D178" t="str">
            <v>:  8.1(2)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Analisa EI-812</v>
          </cell>
          <cell r="L178" t="str">
            <v>No. PAKET KONTRAK</v>
          </cell>
          <cell r="O178" t="str">
            <v xml:space="preserve">: </v>
          </cell>
          <cell r="T178" t="str">
            <v>Analisa EI-8.21</v>
          </cell>
        </row>
        <row r="179">
          <cell r="A179" t="str">
            <v>JENIS PEKERJAAN</v>
          </cell>
          <cell r="D179" t="str">
            <v>:  Pondasi Agregat Kls. B Untuk Pek. Minor</v>
          </cell>
          <cell r="L179" t="str">
            <v>NAMA PAKET</v>
          </cell>
          <cell r="O179" t="str">
            <v>:  Pembangunan Jembatan Beton Tersebar di Wilayah Barat</v>
          </cell>
        </row>
        <row r="180">
          <cell r="A180" t="str">
            <v>SATUAN PEMBAYARAN</v>
          </cell>
          <cell r="C180" t="str">
            <v>DUMP TRUCK</v>
          </cell>
          <cell r="D180" t="str">
            <v>:  M3</v>
          </cell>
          <cell r="G180" t="str">
            <v>(E08)</v>
          </cell>
          <cell r="H180" t="str">
            <v xml:space="preserve">         URAIAN ANALISA HARGA SATUAN</v>
          </cell>
          <cell r="L180" t="str">
            <v>FORMULIR STANDAR UNTUK</v>
          </cell>
          <cell r="O180" t="str">
            <v>:  Lampung Timur</v>
          </cell>
        </row>
        <row r="181">
          <cell r="C181" t="str">
            <v>Sebagai alat pengangkut bahan di lokasi pekerjaan,</v>
          </cell>
          <cell r="D181" t="str">
            <v>V x Fa x 60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PEREKAMAN ANALISA MASING-MASING HARGA SATUAN</v>
          </cell>
          <cell r="O181" t="str">
            <v>:  6.6.1</v>
          </cell>
        </row>
        <row r="182">
          <cell r="C182" t="str">
            <v>Dump Truck melayani alat Asphalt Sprayer.</v>
          </cell>
          <cell r="D182" t="str">
            <v>Fk x Ts2</v>
          </cell>
          <cell r="L182" t="str">
            <v>JENIS PEKERJAAN</v>
          </cell>
          <cell r="O182" t="str">
            <v>:  Lapis Pen. Macadam Permukaan</v>
          </cell>
        </row>
        <row r="183">
          <cell r="A183" t="str">
            <v>No.</v>
          </cell>
          <cell r="C183" t="str">
            <v>U R A I A N</v>
          </cell>
          <cell r="D183" t="str">
            <v>sama dengan Asphalt Sprayer</v>
          </cell>
          <cell r="G183" t="str">
            <v>KODE</v>
          </cell>
          <cell r="H183" t="str">
            <v>KOEF.</v>
          </cell>
          <cell r="I183" t="str">
            <v>SATUAN</v>
          </cell>
          <cell r="J183" t="str">
            <v>KETERANGAN</v>
          </cell>
          <cell r="L183" t="str">
            <v>SATUAN PEMBAYARAN</v>
          </cell>
          <cell r="O183" t="str">
            <v>:  M3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  <cell r="L185" t="str">
            <v>No. PAKET KONTRAK</v>
          </cell>
          <cell r="O185" t="str">
            <v xml:space="preserve">: </v>
          </cell>
        </row>
        <row r="186">
          <cell r="A186" t="str">
            <v>I.</v>
          </cell>
          <cell r="C186" t="str">
            <v>ASUMSI</v>
          </cell>
          <cell r="G186" t="str">
            <v>(E16 )</v>
          </cell>
          <cell r="L186" t="str">
            <v>PEKERJAAN</v>
          </cell>
          <cell r="O186" t="str">
            <v>:  Pembangunan Jembatan Beton Tersebar di Wilayah Barat</v>
          </cell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A187">
            <v>1</v>
          </cell>
          <cell r="C187" t="str">
            <v>Menggunakan alat berat (cara mekanik)</v>
          </cell>
          <cell r="G187" t="str">
            <v>v</v>
          </cell>
          <cell r="H187">
            <v>2</v>
          </cell>
          <cell r="I187" t="str">
            <v>KM/jam</v>
          </cell>
          <cell r="L187" t="str">
            <v>KABUPATEN</v>
          </cell>
          <cell r="N187" t="str">
            <v>KOMPONEN</v>
          </cell>
          <cell r="O187" t="str">
            <v>:  Lampung Timur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A188">
            <v>2</v>
          </cell>
          <cell r="C188" t="str">
            <v>Lokasi pekerjaan : setempat2 di sepanjang jalan</v>
          </cell>
          <cell r="G188" t="str">
            <v>Q4</v>
          </cell>
          <cell r="H188">
            <v>332</v>
          </cell>
          <cell r="I188" t="str">
            <v>liter</v>
          </cell>
          <cell r="L188" t="str">
            <v>ITEM PEMBAYARAN NO.</v>
          </cell>
          <cell r="O188" t="str">
            <v>:  8.2(1)</v>
          </cell>
          <cell r="R188" t="str">
            <v>(Rp.)</v>
          </cell>
          <cell r="S188" t="str">
            <v>(Rp.)</v>
          </cell>
        </row>
        <row r="189">
          <cell r="A189">
            <v>3</v>
          </cell>
          <cell r="C189" t="str">
            <v>Kondisi existing jalan : sedang</v>
          </cell>
          <cell r="G189" t="str">
            <v>Qt</v>
          </cell>
          <cell r="H189">
            <v>2324</v>
          </cell>
          <cell r="I189" t="str">
            <v>liter</v>
          </cell>
          <cell r="L189" t="str">
            <v>JENIS PEKERJAAN</v>
          </cell>
          <cell r="O189" t="str">
            <v>:  Galian Utk.Bahu &amp; Pek. Lainnya ,Rutin</v>
          </cell>
        </row>
        <row r="190">
          <cell r="A190">
            <v>4</v>
          </cell>
          <cell r="C190" t="str">
            <v>Jarak rata-rata Base Camp ke lokasi pekerjaan</v>
          </cell>
          <cell r="G190" t="str">
            <v>L</v>
          </cell>
          <cell r="H190">
            <v>1</v>
          </cell>
          <cell r="I190" t="str">
            <v>KM</v>
          </cell>
          <cell r="L190" t="str">
            <v>SATUAN PEMBAYARAN</v>
          </cell>
          <cell r="O190" t="str">
            <v>:  M3</v>
          </cell>
        </row>
        <row r="191">
          <cell r="A191">
            <v>5</v>
          </cell>
          <cell r="C191" t="str">
            <v>Tebal lapis agregat padat</v>
          </cell>
          <cell r="D191" t="str">
            <v>- Pekerja</v>
          </cell>
          <cell r="G191" t="str">
            <v>t</v>
          </cell>
          <cell r="H191">
            <v>0.2</v>
          </cell>
          <cell r="I191" t="str">
            <v>M</v>
          </cell>
          <cell r="L191" t="str">
            <v>A.</v>
          </cell>
          <cell r="N191" t="str">
            <v>TENAGA</v>
          </cell>
        </row>
        <row r="192">
          <cell r="A192">
            <v>6</v>
          </cell>
          <cell r="C192" t="str">
            <v>Faktor kembang material (Padat-Lepas)</v>
          </cell>
          <cell r="D192" t="str">
            <v>- Mandor</v>
          </cell>
          <cell r="G192" t="str">
            <v>Fk</v>
          </cell>
          <cell r="H192">
            <v>1.2</v>
          </cell>
          <cell r="I192" t="str">
            <v>-</v>
          </cell>
        </row>
        <row r="193">
          <cell r="A193">
            <v>7</v>
          </cell>
          <cell r="C193" t="str">
            <v>Jam kerja efektif per-hari</v>
          </cell>
          <cell r="D193" t="str">
            <v>n</v>
          </cell>
          <cell r="G193" t="str">
            <v>Tk</v>
          </cell>
          <cell r="H193">
            <v>7</v>
          </cell>
          <cell r="I193" t="str">
            <v>jam</v>
          </cell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 t="str">
            <v>PERKIRAAN</v>
          </cell>
          <cell r="R193" t="str">
            <v>HARGA</v>
          </cell>
          <cell r="S193" t="str">
            <v>JUMLAH</v>
          </cell>
          <cell r="U193">
            <v>11474.5</v>
          </cell>
        </row>
        <row r="194">
          <cell r="A194">
            <v>8</v>
          </cell>
          <cell r="C194" t="str">
            <v>Proporsi Campuran :</v>
          </cell>
          <cell r="D194" t="str">
            <v>- Agregat Kasar</v>
          </cell>
          <cell r="G194" t="str">
            <v>Ak</v>
          </cell>
          <cell r="H194">
            <v>40</v>
          </cell>
          <cell r="I194" t="str">
            <v>%</v>
          </cell>
          <cell r="J194" t="str">
            <v xml:space="preserve"> Gradasi harus</v>
          </cell>
          <cell r="L194" t="str">
            <v>NO.</v>
          </cell>
          <cell r="N194" t="str">
            <v>KOMPONEN</v>
          </cell>
          <cell r="O194" t="str">
            <v>(L03)</v>
          </cell>
          <cell r="P194" t="str">
            <v>SATUAN</v>
          </cell>
          <cell r="Q194" t="str">
            <v>KUANTITAS</v>
          </cell>
          <cell r="R194" t="str">
            <v>SATUAN</v>
          </cell>
          <cell r="S194" t="str">
            <v>HARGA</v>
          </cell>
          <cell r="U194">
            <v>491.78591099999994</v>
          </cell>
        </row>
        <row r="195">
          <cell r="D195" t="str">
            <v>- Agregat Halus</v>
          </cell>
          <cell r="E195" t="str">
            <v>= (Tk x P) : Qt</v>
          </cell>
          <cell r="G195" t="str">
            <v>Ah</v>
          </cell>
          <cell r="H195">
            <v>30</v>
          </cell>
          <cell r="I195" t="str">
            <v>%</v>
          </cell>
          <cell r="J195" t="str">
            <v xml:space="preserve"> memenuhi</v>
          </cell>
          <cell r="R195" t="str">
            <v>(Rp.)</v>
          </cell>
          <cell r="S195" t="str">
            <v>(Rp.)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Sirtu</v>
          </cell>
          <cell r="E196" t="str">
            <v>= (Tk x M) : Qt</v>
          </cell>
          <cell r="G196" t="str">
            <v>Srt</v>
          </cell>
          <cell r="H196">
            <v>30</v>
          </cell>
          <cell r="I196" t="str">
            <v>%</v>
          </cell>
          <cell r="J196" t="str">
            <v xml:space="preserve"> Spesifikasi</v>
          </cell>
        </row>
        <row r="197">
          <cell r="A197" t="str">
            <v>II.</v>
          </cell>
          <cell r="C197" t="str">
            <v>URUTAN KERJA</v>
          </cell>
          <cell r="Q197" t="str">
            <v xml:space="preserve">JUMLAH HARGA TENAGA   </v>
          </cell>
          <cell r="U197">
            <v>11966.285910999999</v>
          </cell>
        </row>
        <row r="198">
          <cell r="A198">
            <v>1</v>
          </cell>
          <cell r="C198" t="str">
            <v>Wheel Loader mencampur &amp; memuat Agregat ke Dump Truck</v>
          </cell>
          <cell r="D198" t="str">
            <v>=  2  buah.</v>
          </cell>
          <cell r="L198" t="str">
            <v>A.</v>
          </cell>
          <cell r="N198" t="str">
            <v>TENAGA</v>
          </cell>
        </row>
        <row r="199">
          <cell r="A199">
            <v>2</v>
          </cell>
          <cell r="C199" t="str">
            <v>Dump Truck mengangkut Agregat ke lokasi</v>
          </cell>
          <cell r="D199" t="str">
            <v>=  3  buah.</v>
          </cell>
          <cell r="L199" t="str">
            <v>B.</v>
          </cell>
          <cell r="N199" t="str">
            <v>BAHAN</v>
          </cell>
        </row>
        <row r="200">
          <cell r="C200" t="str">
            <v>pekerjaan dan dihampar dengan pekerja</v>
          </cell>
          <cell r="D200" t="str">
            <v>=  2  buah.</v>
          </cell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A201">
            <v>3</v>
          </cell>
          <cell r="C201" t="str">
            <v>Hamparan Agregat dibasahi dengan Water Tank</v>
          </cell>
          <cell r="L201" t="str">
            <v>2.</v>
          </cell>
          <cell r="N201" t="str">
            <v>Mandor</v>
          </cell>
          <cell r="O201" t="str">
            <v>(L03)</v>
          </cell>
          <cell r="P201" t="str">
            <v>Jam</v>
          </cell>
          <cell r="Q201">
            <v>3.7499999999999999E-2</v>
          </cell>
          <cell r="R201">
            <v>3571.43</v>
          </cell>
          <cell r="U201">
            <v>133.93</v>
          </cell>
        </row>
        <row r="202">
          <cell r="A202" t="str">
            <v xml:space="preserve">   3.</v>
          </cell>
          <cell r="C202" t="str">
            <v>Truck sebelum dipadatkan dengan Pedestrian Roller</v>
          </cell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A203">
            <v>4</v>
          </cell>
          <cell r="C203" t="str">
            <v>Sekelompok pekerja membuat galian lubang/patching,-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C204" t="str">
            <v>merapikan  tepi hamparan dan level permukaan -</v>
          </cell>
          <cell r="G204" t="str">
            <v>Qt</v>
          </cell>
          <cell r="H204">
            <v>261.45</v>
          </cell>
          <cell r="I204" t="str">
            <v>M3</v>
          </cell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 t="str">
            <v xml:space="preserve">JUMLAH HARGA TENAGA   </v>
          </cell>
          <cell r="R204">
            <v>48500</v>
          </cell>
          <cell r="U204">
            <v>414.93</v>
          </cell>
        </row>
        <row r="205">
          <cell r="C205" t="str">
            <v>dengan menggunakan alat.</v>
          </cell>
        </row>
        <row r="206">
          <cell r="A206" t="str">
            <v>III.</v>
          </cell>
          <cell r="C206" t="str">
            <v>PEMAKAIAN BAHAN, ALAT DAN TENAGA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B.</v>
          </cell>
          <cell r="N206" t="str">
            <v>BAHAN</v>
          </cell>
        </row>
        <row r="207">
          <cell r="A207" t="str">
            <v xml:space="preserve">   1.</v>
          </cell>
          <cell r="C207" t="str">
            <v>BAHAN</v>
          </cell>
          <cell r="D207">
            <v>4614.92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  <cell r="Q207" t="str">
            <v xml:space="preserve">JUMLAH HARGA BAHAN   </v>
          </cell>
          <cell r="U207">
            <v>580442.29</v>
          </cell>
        </row>
        <row r="208">
          <cell r="C208" t="str">
            <v>- Agregat Kasar</v>
          </cell>
          <cell r="D208" t="str">
            <v>=  Ak x 1 M3 x Fk</v>
          </cell>
          <cell r="G208" t="str">
            <v>M03</v>
          </cell>
          <cell r="H208">
            <v>0.48</v>
          </cell>
          <cell r="I208" t="str">
            <v>M3</v>
          </cell>
        </row>
        <row r="209">
          <cell r="C209" t="str">
            <v>- Agregat Halus</v>
          </cell>
          <cell r="D209" t="str">
            <v>=  Ah x 1 M3 x Fk</v>
          </cell>
          <cell r="G209" t="str">
            <v>M04</v>
          </cell>
          <cell r="H209">
            <v>0.36</v>
          </cell>
          <cell r="I209" t="str">
            <v>M3</v>
          </cell>
          <cell r="L209" t="str">
            <v>C.</v>
          </cell>
          <cell r="N209" t="str">
            <v>PERALATAN</v>
          </cell>
        </row>
        <row r="210">
          <cell r="C210" t="str">
            <v>- Sirtu</v>
          </cell>
          <cell r="D210" t="str">
            <v>=  Srt  x 1 M3 x Fk</v>
          </cell>
          <cell r="E210" t="str">
            <v>= (Tk x P) : Qt</v>
          </cell>
          <cell r="G210" t="str">
            <v>M04</v>
          </cell>
          <cell r="H210">
            <v>0.36</v>
          </cell>
          <cell r="I210" t="str">
            <v>M3</v>
          </cell>
        </row>
        <row r="211">
          <cell r="A211" t="str">
            <v xml:space="preserve">   2.</v>
          </cell>
          <cell r="C211" t="str">
            <v>ALAT</v>
          </cell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A212" t="str">
            <v xml:space="preserve">   2.a.</v>
          </cell>
          <cell r="C212" t="str">
            <v>WHEEL LOADER</v>
          </cell>
          <cell r="G212" t="str">
            <v>(E15)</v>
          </cell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A213" t="str">
            <v>4.</v>
          </cell>
          <cell r="C213" t="str">
            <v>Kapasitas bucket</v>
          </cell>
          <cell r="G213" t="str">
            <v>V</v>
          </cell>
          <cell r="H213">
            <v>1.5</v>
          </cell>
          <cell r="I213" t="str">
            <v>M3</v>
          </cell>
          <cell r="L213" t="str">
            <v>3.</v>
          </cell>
          <cell r="N213" t="str">
            <v xml:space="preserve">Three Wheel Roller     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C214" t="str">
            <v>Faktor bucket</v>
          </cell>
          <cell r="G214" t="str">
            <v>Fb</v>
          </cell>
          <cell r="H214">
            <v>0.9</v>
          </cell>
          <cell r="I214" t="str">
            <v>-</v>
          </cell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 t="str">
            <v xml:space="preserve">JUMLAH HARGA BAHAN   </v>
          </cell>
          <cell r="R214">
            <v>24722.73</v>
          </cell>
          <cell r="U214">
            <v>0</v>
          </cell>
        </row>
        <row r="215">
          <cell r="C215" t="str">
            <v>Faktor Efisiensi alat</v>
          </cell>
          <cell r="G215" t="str">
            <v>Fa</v>
          </cell>
          <cell r="H215">
            <v>0.83</v>
          </cell>
          <cell r="I215" t="str">
            <v>-</v>
          </cell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6">
          <cell r="A216" t="str">
            <v>5.</v>
          </cell>
          <cell r="C216" t="str">
            <v>Waktu Siklus :</v>
          </cell>
          <cell r="G216" t="str">
            <v>Ts1</v>
          </cell>
          <cell r="L216" t="str">
            <v>C.</v>
          </cell>
          <cell r="N216" t="str">
            <v>PERALATAN</v>
          </cell>
        </row>
        <row r="217">
          <cell r="C217" t="str">
            <v>- Mencampur</v>
          </cell>
          <cell r="G217" t="str">
            <v>T1</v>
          </cell>
          <cell r="H217">
            <v>0.5</v>
          </cell>
          <cell r="I217" t="str">
            <v>menit</v>
          </cell>
        </row>
        <row r="218">
          <cell r="C218" t="str">
            <v>- Memuat dan lain-lain</v>
          </cell>
          <cell r="G218" t="str">
            <v>T2</v>
          </cell>
          <cell r="H218">
            <v>0.5</v>
          </cell>
          <cell r="I218" t="str">
            <v>menit</v>
          </cell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C219" t="str">
            <v>SATUAN.</v>
          </cell>
          <cell r="G219" t="str">
            <v>Ts1</v>
          </cell>
          <cell r="H219">
            <v>1</v>
          </cell>
          <cell r="I219" t="str">
            <v>menit</v>
          </cell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>
            <v>7.2300000000000003E-2</v>
          </cell>
          <cell r="R219">
            <v>82267.929999999993</v>
          </cell>
          <cell r="U219">
            <v>5947.97</v>
          </cell>
        </row>
        <row r="220">
          <cell r="C220" t="str">
            <v>Kap. Prod. / jam =</v>
          </cell>
          <cell r="D220" t="str">
            <v>V x Fb x Fa x 60</v>
          </cell>
          <cell r="G220" t="str">
            <v>Q1</v>
          </cell>
          <cell r="H220">
            <v>56.024999999999999</v>
          </cell>
          <cell r="I220" t="str">
            <v>M3</v>
          </cell>
          <cell r="L220" t="str">
            <v>3.</v>
          </cell>
          <cell r="N220" t="str">
            <v>Alat Bantu</v>
          </cell>
          <cell r="P220" t="str">
            <v>Ls</v>
          </cell>
          <cell r="Q220">
            <v>1</v>
          </cell>
          <cell r="R220">
            <v>100</v>
          </cell>
          <cell r="U220">
            <v>100</v>
          </cell>
        </row>
        <row r="221">
          <cell r="C221" t="str">
            <v>Rp.</v>
          </cell>
          <cell r="D221" t="str">
            <v>Fk x Ts1</v>
          </cell>
          <cell r="E221" t="str">
            <v xml:space="preserve"> / M3</v>
          </cell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C222" t="str">
            <v>Koefisien Alat / M3</v>
          </cell>
          <cell r="D222" t="str">
            <v xml:space="preserve"> =  1  :  Q1</v>
          </cell>
          <cell r="G222" t="str">
            <v>(E15)</v>
          </cell>
          <cell r="H222">
            <v>1.78E-2</v>
          </cell>
          <cell r="I222" t="str">
            <v>jam</v>
          </cell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4">
          <cell r="A224" t="str">
            <v xml:space="preserve">   2.b.</v>
          </cell>
          <cell r="C224" t="str">
            <v>DUMP TRUCK</v>
          </cell>
          <cell r="G224" t="str">
            <v>(E09)</v>
          </cell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C225" t="str">
            <v>Kapasitas bak</v>
          </cell>
          <cell r="G225" t="str">
            <v>V</v>
          </cell>
          <cell r="H225">
            <v>6</v>
          </cell>
          <cell r="I225" t="str">
            <v>M3</v>
          </cell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C226" t="str">
            <v>Faktor Efisiensi alat</v>
          </cell>
          <cell r="G226" t="str">
            <v>Fa</v>
          </cell>
          <cell r="H226">
            <v>0.83</v>
          </cell>
          <cell r="I226" t="str">
            <v>-</v>
          </cell>
          <cell r="L226">
            <v>3</v>
          </cell>
          <cell r="N226" t="str">
            <v>Biaya satuan untuk peralatan sudah termasuk bahan bakar, bahan habis dipakai dan operator.</v>
          </cell>
          <cell r="Q226" t="str">
            <v xml:space="preserve">JUMLAH HARGA PERALATAN   </v>
          </cell>
          <cell r="U226">
            <v>15462.400000000001</v>
          </cell>
        </row>
        <row r="227">
          <cell r="C227" t="str">
            <v>Kecepatan rata-rata bermuatan</v>
          </cell>
          <cell r="G227" t="str">
            <v>v1</v>
          </cell>
          <cell r="H227">
            <v>40</v>
          </cell>
          <cell r="I227" t="str">
            <v>KM/jam</v>
          </cell>
          <cell r="L227" t="str">
            <v>D.</v>
          </cell>
          <cell r="N227" t="str">
            <v>JUMLAH HARGA TENAGA, BAHAN DAN PERALATAN  ( A + B + C )</v>
          </cell>
          <cell r="U227">
            <v>15877.330000000002</v>
          </cell>
        </row>
        <row r="228">
          <cell r="C228" t="str">
            <v>Kecepatan rata-rata kosong</v>
          </cell>
          <cell r="G228" t="str">
            <v>v2</v>
          </cell>
          <cell r="H228">
            <v>60</v>
          </cell>
          <cell r="I228" t="str">
            <v>KM/jam</v>
          </cell>
          <cell r="L228" t="str">
            <v>E.</v>
          </cell>
          <cell r="N228" t="str">
            <v>OVERHEAD &amp; PROFIT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A229" t="str">
            <v>ITEM PEMBAYARAN NO.</v>
          </cell>
          <cell r="C229" t="str">
            <v>Waktu Siklus :</v>
          </cell>
          <cell r="D229" t="str">
            <v>:  6.3 (4)</v>
          </cell>
          <cell r="G229" t="str">
            <v>Ts2</v>
          </cell>
          <cell r="J229" t="str">
            <v>Analisa EI-634</v>
          </cell>
          <cell r="L229" t="str">
            <v>F.</v>
          </cell>
          <cell r="N229" t="str">
            <v>HARGA SATUAN PEKERJAAN  ( D + E )</v>
          </cell>
          <cell r="U229">
            <v>17465.060000000001</v>
          </cell>
        </row>
        <row r="230">
          <cell r="A230" t="str">
            <v>JENIS PEKERJAAN</v>
          </cell>
          <cell r="C230" t="str">
            <v>- Waktu tempuh isi           =  (L : v1) x 60 menit</v>
          </cell>
          <cell r="D230" t="str">
            <v>:  Asphalt Treated Base (ATB)</v>
          </cell>
          <cell r="G230" t="str">
            <v>T1</v>
          </cell>
          <cell r="H230">
            <v>1.5</v>
          </cell>
          <cell r="I230" t="str">
            <v>menit</v>
          </cell>
        </row>
        <row r="231">
          <cell r="A231" t="str">
            <v>SATUAN PEMBAYARAN</v>
          </cell>
          <cell r="C231" t="str">
            <v>- Waktu tempuh kosong  =  (L : v2) x 60 menit</v>
          </cell>
          <cell r="D231" t="str">
            <v>:  M3</v>
          </cell>
          <cell r="G231" t="str">
            <v>T2</v>
          </cell>
          <cell r="H231">
            <v>1</v>
          </cell>
          <cell r="I231" t="str">
            <v>menit</v>
          </cell>
          <cell r="L231" t="str">
            <v>Note: 1</v>
          </cell>
          <cell r="N231" t="str">
            <v>SATUAN dapat berdasarkan atas jam operasi untuk Tenaga Kerja dan Peralatan, volume dan/atau ukuran berat untuk bahan</v>
          </cell>
        </row>
        <row r="232">
          <cell r="C232" t="str">
            <v>- Lain-lain (termasuk dumping setempat-setempat)</v>
          </cell>
          <cell r="G232" t="str">
            <v>T3</v>
          </cell>
          <cell r="H232">
            <v>20</v>
          </cell>
          <cell r="I232" t="str">
            <v>menit</v>
          </cell>
          <cell r="L232">
            <v>2</v>
          </cell>
          <cell r="N232" t="str">
            <v>Kuantitas satuan adalah kuantitas setiap komponen untuk menyelesaikan satu satuan pekerjaan dari nomor mata pembayaran</v>
          </cell>
        </row>
        <row r="233">
          <cell r="G233" t="str">
            <v>Ts2</v>
          </cell>
          <cell r="H233">
            <v>22.5</v>
          </cell>
          <cell r="I233" t="str">
            <v>menit</v>
          </cell>
          <cell r="L233">
            <v>3</v>
          </cell>
          <cell r="N233" t="str">
            <v>Biaya satuan untuk peralatan sudah termasuk bahan bakar, bahan habis dipakai dan operator.</v>
          </cell>
        </row>
        <row r="234">
          <cell r="A234" t="str">
            <v>No.</v>
          </cell>
          <cell r="C234" t="str">
            <v>U R A I A N</v>
          </cell>
          <cell r="G234" t="str">
            <v>KODE</v>
          </cell>
          <cell r="H234" t="str">
            <v>KOEF.</v>
          </cell>
          <cell r="I234" t="str">
            <v>SATUAN</v>
          </cell>
          <cell r="J234" t="str">
            <v>KETERANGAN</v>
          </cell>
          <cell r="L234">
            <v>4</v>
          </cell>
          <cell r="N234" t="str">
            <v>Biaya satuan sudah termasuk pengeluaran untuk seluruh pajak yang berkaitan (tetapi tidak termasuk PPN yang dibayar dari ontrak )</v>
          </cell>
        </row>
        <row r="235">
          <cell r="J235" t="str">
            <v>Berlanjut ke halaman berikut</v>
          </cell>
        </row>
        <row r="236">
          <cell r="A236" t="str">
            <v>ITEM PEMBAYARAN NO.</v>
          </cell>
          <cell r="D236" t="str">
            <v>:  8.1(2)</v>
          </cell>
          <cell r="J236" t="str">
            <v>Analisa EI-812</v>
          </cell>
        </row>
        <row r="237">
          <cell r="A237" t="str">
            <v>JENIS PEKERJAAN</v>
          </cell>
          <cell r="C237" t="str">
            <v>ASUMSI</v>
          </cell>
          <cell r="D237" t="str">
            <v>:  Pondasi Agregat Kls. B Untuk Pek. Minor</v>
          </cell>
        </row>
        <row r="238">
          <cell r="A238" t="str">
            <v>SATUAN PEMBAYARAN</v>
          </cell>
          <cell r="C238" t="str">
            <v>Menggunakan alat berat (cara mekanik)</v>
          </cell>
          <cell r="D238" t="str">
            <v>:  M3</v>
          </cell>
          <cell r="H238" t="str">
            <v xml:space="preserve">         URAIAN ANALISA HARGA SATUAN</v>
          </cell>
        </row>
        <row r="239">
          <cell r="A239">
            <v>2</v>
          </cell>
          <cell r="C239" t="str">
            <v>Lokasi pekerjaan : sepanjang jalan</v>
          </cell>
          <cell r="J239" t="str">
            <v>Lanjutan</v>
          </cell>
        </row>
        <row r="240">
          <cell r="A240">
            <v>3</v>
          </cell>
          <cell r="C240" t="str">
            <v>Kondisi existing jalan : sedang</v>
          </cell>
        </row>
        <row r="241">
          <cell r="A241" t="str">
            <v>No.</v>
          </cell>
          <cell r="C241" t="str">
            <v>U R A I A N</v>
          </cell>
          <cell r="G241" t="str">
            <v>KODE</v>
          </cell>
          <cell r="H241" t="str">
            <v>KOEF.</v>
          </cell>
          <cell r="I241" t="str">
            <v>SATUAN</v>
          </cell>
          <cell r="J241" t="str">
            <v>KETERANGAN</v>
          </cell>
        </row>
        <row r="242">
          <cell r="A242">
            <v>5</v>
          </cell>
          <cell r="C242" t="str">
            <v>Tebal Lapis (ATB) padat</v>
          </cell>
          <cell r="G242" t="str">
            <v>t</v>
          </cell>
          <cell r="H242">
            <v>0.05</v>
          </cell>
          <cell r="I242" t="str">
            <v>M</v>
          </cell>
        </row>
        <row r="243">
          <cell r="A243">
            <v>6</v>
          </cell>
          <cell r="C243" t="str">
            <v>Jam kerja efektif per-hari</v>
          </cell>
          <cell r="G243" t="str">
            <v>Tk</v>
          </cell>
          <cell r="H243">
            <v>7</v>
          </cell>
          <cell r="I243" t="str">
            <v>Jam</v>
          </cell>
        </row>
        <row r="244">
          <cell r="A244">
            <v>7</v>
          </cell>
          <cell r="C244" t="str">
            <v>Kap. Prod. / jam =</v>
          </cell>
          <cell r="D244" t="str">
            <v>V x Fa x 60</v>
          </cell>
          <cell r="E244" t="str">
            <v>- Agregat</v>
          </cell>
          <cell r="G244" t="str">
            <v>Q2</v>
          </cell>
          <cell r="H244">
            <v>11.066700000000001</v>
          </cell>
          <cell r="I244" t="str">
            <v>M3</v>
          </cell>
        </row>
        <row r="245">
          <cell r="A245" t="str">
            <v/>
          </cell>
          <cell r="D245" t="str">
            <v>Fk x Ts2</v>
          </cell>
          <cell r="E245" t="str">
            <v>- Aspal</v>
          </cell>
          <cell r="G245" t="str">
            <v>Fh2</v>
          </cell>
          <cell r="H245">
            <v>1.05</v>
          </cell>
          <cell r="I245" t="str">
            <v>-</v>
          </cell>
        </row>
        <row r="246">
          <cell r="A246">
            <v>8</v>
          </cell>
          <cell r="C246" t="str">
            <v>Koefisien Alat / M3</v>
          </cell>
          <cell r="D246" t="str">
            <v xml:space="preserve"> =  1  :  Q2</v>
          </cell>
          <cell r="G246" t="str">
            <v>(E09)</v>
          </cell>
          <cell r="H246">
            <v>9.0399999999999994E-2</v>
          </cell>
          <cell r="I246" t="str">
            <v>jam</v>
          </cell>
        </row>
        <row r="247">
          <cell r="C247" t="str">
            <v xml:space="preserve">- Coarse Agregat  </v>
          </cell>
          <cell r="G247" t="str">
            <v>CA</v>
          </cell>
          <cell r="H247">
            <v>55</v>
          </cell>
          <cell r="I247" t="str">
            <v>%</v>
          </cell>
          <cell r="J247" t="str">
            <v xml:space="preserve"> Gradasi harus -</v>
          </cell>
        </row>
        <row r="248">
          <cell r="A248" t="str">
            <v xml:space="preserve">   2.c.</v>
          </cell>
          <cell r="C248" t="str">
            <v>PEDESTRIAN ROLLER</v>
          </cell>
          <cell r="G248" t="str">
            <v>(E24)</v>
          </cell>
          <cell r="H248">
            <v>33.5</v>
          </cell>
          <cell r="I248" t="str">
            <v>%</v>
          </cell>
          <cell r="J248" t="str">
            <v xml:space="preserve"> memenuhi -</v>
          </cell>
        </row>
        <row r="249">
          <cell r="C249" t="str">
            <v>Kecepatan rata-rata alat</v>
          </cell>
          <cell r="G249" t="str">
            <v>v</v>
          </cell>
          <cell r="H249">
            <v>2.5</v>
          </cell>
          <cell r="I249" t="str">
            <v>KM/jam</v>
          </cell>
          <cell r="J249" t="str">
            <v xml:space="preserve"> Spesifikasi</v>
          </cell>
        </row>
        <row r="250">
          <cell r="C250" t="str">
            <v>Lebar efektif pemadatan</v>
          </cell>
          <cell r="D250" t="str">
            <v>minimum 6 %</v>
          </cell>
          <cell r="G250" t="str">
            <v>b</v>
          </cell>
          <cell r="H250">
            <v>0.8</v>
          </cell>
          <cell r="I250" t="str">
            <v>M</v>
          </cell>
        </row>
        <row r="251">
          <cell r="A251">
            <v>9</v>
          </cell>
          <cell r="C251" t="str">
            <v>Jumlah lintasan</v>
          </cell>
          <cell r="G251" t="str">
            <v>n</v>
          </cell>
          <cell r="H251">
            <v>12</v>
          </cell>
          <cell r="I251" t="str">
            <v>lintasan</v>
          </cell>
        </row>
        <row r="252">
          <cell r="C252" t="str">
            <v>Faktor Efisiensi alat</v>
          </cell>
          <cell r="G252" t="str">
            <v>Fa</v>
          </cell>
          <cell r="H252">
            <v>0.83</v>
          </cell>
          <cell r="I252" t="str">
            <v>-</v>
          </cell>
        </row>
        <row r="253">
          <cell r="C253" t="str">
            <v>- Coarse Agregat &amp; Fine Agregat</v>
          </cell>
          <cell r="G253" t="str">
            <v>D2</v>
          </cell>
          <cell r="H253">
            <v>1.8</v>
          </cell>
          <cell r="I253" t="str">
            <v>ton / M3</v>
          </cell>
        </row>
        <row r="254">
          <cell r="C254" t="str">
            <v>Kap. Prod. / jam =</v>
          </cell>
          <cell r="D254" t="str">
            <v>(v x 1000) x b x t x Fa</v>
          </cell>
          <cell r="G254" t="str">
            <v>Q3</v>
          </cell>
          <cell r="H254">
            <v>27.666699999999999</v>
          </cell>
          <cell r="I254" t="str">
            <v>M3</v>
          </cell>
        </row>
        <row r="255">
          <cell r="C255" t="str">
            <v>- Asphalt</v>
          </cell>
          <cell r="D255" t="str">
            <v>n</v>
          </cell>
          <cell r="G255" t="str">
            <v>D4</v>
          </cell>
          <cell r="H255">
            <v>1.03</v>
          </cell>
          <cell r="I255" t="str">
            <v>ton / M3</v>
          </cell>
        </row>
        <row r="256">
          <cell r="C256" t="str">
            <v>Koefisien Alat / M3</v>
          </cell>
          <cell r="D256" t="str">
            <v xml:space="preserve"> =  1  :  Q3</v>
          </cell>
          <cell r="G256" t="str">
            <v>(E24)</v>
          </cell>
          <cell r="H256">
            <v>3.61E-2</v>
          </cell>
          <cell r="I256" t="str">
            <v>jam</v>
          </cell>
        </row>
        <row r="257">
          <cell r="A257" t="str">
            <v>II.</v>
          </cell>
          <cell r="C257" t="str">
            <v>URUTAN KERJA</v>
          </cell>
        </row>
        <row r="258">
          <cell r="A258" t="str">
            <v xml:space="preserve">   2.d.</v>
          </cell>
          <cell r="C258" t="str">
            <v>WATER TANK TRUCK</v>
          </cell>
          <cell r="G258" t="str">
            <v>(E23)</v>
          </cell>
        </row>
        <row r="259">
          <cell r="A259">
            <v>2</v>
          </cell>
          <cell r="C259" t="str">
            <v>Volume tanki air</v>
          </cell>
          <cell r="G259" t="str">
            <v>V</v>
          </cell>
          <cell r="H259">
            <v>4</v>
          </cell>
          <cell r="I259" t="str">
            <v>M3</v>
          </cell>
        </row>
        <row r="260">
          <cell r="C260" t="str">
            <v>Kebutuhan air / M3 agregat padat</v>
          </cell>
          <cell r="G260" t="str">
            <v>Wc</v>
          </cell>
          <cell r="H260">
            <v>7.0000000000000007E-2</v>
          </cell>
          <cell r="I260" t="str">
            <v>M3</v>
          </cell>
        </row>
        <row r="261">
          <cell r="A261" t="str">
            <v/>
          </cell>
          <cell r="C261" t="str">
            <v>Pengisian tanki / jam</v>
          </cell>
          <cell r="G261" t="str">
            <v>n</v>
          </cell>
          <cell r="H261">
            <v>1</v>
          </cell>
          <cell r="I261" t="str">
            <v>kali</v>
          </cell>
        </row>
        <row r="262">
          <cell r="A262">
            <v>3</v>
          </cell>
          <cell r="C262" t="str">
            <v>Faktor Efisiensi alat</v>
          </cell>
          <cell r="G262" t="str">
            <v>Fa</v>
          </cell>
          <cell r="H262">
            <v>0.83</v>
          </cell>
          <cell r="I262" t="str">
            <v>-</v>
          </cell>
        </row>
        <row r="263">
          <cell r="C263" t="str">
            <v>dan dipadatkan dengan Tandem (Awal &amp; Akhir) dan</v>
          </cell>
        </row>
        <row r="264">
          <cell r="A264" t="str">
            <v/>
          </cell>
          <cell r="C264" t="str">
            <v>Kap. Prod. / jam =</v>
          </cell>
          <cell r="D264" t="str">
            <v>V x n x Fa</v>
          </cell>
          <cell r="G264" t="str">
            <v>Q4</v>
          </cell>
          <cell r="H264">
            <v>47.428600000000003</v>
          </cell>
          <cell r="I264" t="str">
            <v>M3</v>
          </cell>
        </row>
        <row r="265">
          <cell r="A265">
            <v>4</v>
          </cell>
          <cell r="C265" t="str">
            <v>Selama pemadatan, sekelompok  pekerja akan merapikan tepi</v>
          </cell>
          <cell r="D265" t="str">
            <v>Wc</v>
          </cell>
        </row>
        <row r="266">
          <cell r="A266" t="str">
            <v/>
          </cell>
          <cell r="C266" t="str">
            <v>Koefisien Alat / M3</v>
          </cell>
          <cell r="D266" t="str">
            <v xml:space="preserve"> =  1  :  Q4</v>
          </cell>
          <cell r="G266" t="str">
            <v>(E23)</v>
          </cell>
          <cell r="H266">
            <v>2.1100000000000001E-2</v>
          </cell>
          <cell r="I266" t="str">
            <v>jam</v>
          </cell>
        </row>
        <row r="267">
          <cell r="A267" t="str">
            <v/>
          </cell>
        </row>
        <row r="268">
          <cell r="A268" t="str">
            <v xml:space="preserve">   2.e.</v>
          </cell>
          <cell r="C268" t="str">
            <v>ALAT BANTU</v>
          </cell>
          <cell r="J268" t="str">
            <v xml:space="preserve"> Lump Sum</v>
          </cell>
        </row>
        <row r="269">
          <cell r="A269" t="str">
            <v xml:space="preserve">   1.</v>
          </cell>
          <cell r="C269" t="str">
            <v>Diperlukan   :</v>
          </cell>
        </row>
        <row r="270">
          <cell r="A270" t="str">
            <v>1.a.</v>
          </cell>
          <cell r="C270" t="str">
            <v>- Kereta dorong</v>
          </cell>
          <cell r="D270" t="str">
            <v>= 5 buah</v>
          </cell>
          <cell r="G270" t="str">
            <v>(M03a)</v>
          </cell>
          <cell r="H270">
            <v>0.77310000000000001</v>
          </cell>
          <cell r="I270" t="str">
            <v>M3</v>
          </cell>
        </row>
        <row r="271">
          <cell r="A271" t="str">
            <v>1.b.</v>
          </cell>
          <cell r="C271" t="str">
            <v>- Sekop</v>
          </cell>
          <cell r="D271" t="str">
            <v>= 10 buah</v>
          </cell>
          <cell r="G271" t="str">
            <v>(M04a)</v>
          </cell>
          <cell r="H271">
            <v>0.47089999999999999</v>
          </cell>
          <cell r="I271" t="str">
            <v>M3</v>
          </cell>
        </row>
        <row r="272">
          <cell r="A272" t="str">
            <v>1.c.</v>
          </cell>
          <cell r="C272" t="str">
            <v>- Garpu</v>
          </cell>
          <cell r="D272" t="str">
            <v>= 10 buah</v>
          </cell>
          <cell r="G272" t="str">
            <v>(M05)</v>
          </cell>
          <cell r="H272">
            <v>126.5</v>
          </cell>
          <cell r="I272" t="str">
            <v>Kg</v>
          </cell>
        </row>
        <row r="273">
          <cell r="A273" t="str">
            <v>1.d.</v>
          </cell>
          <cell r="C273" t="str">
            <v>Aspal</v>
          </cell>
          <cell r="D273" t="str">
            <v xml:space="preserve">= (AS x (D1 x 1 M3) x Fh2) </v>
          </cell>
          <cell r="G273" t="str">
            <v>(M10)</v>
          </cell>
          <cell r="H273">
            <v>156.97499999999999</v>
          </cell>
          <cell r="I273" t="str">
            <v>Kg</v>
          </cell>
        </row>
        <row r="275">
          <cell r="A275" t="str">
            <v xml:space="preserve">   3.</v>
          </cell>
          <cell r="C275" t="str">
            <v>TENAGA</v>
          </cell>
        </row>
        <row r="276">
          <cell r="A276" t="str">
            <v>2.a.</v>
          </cell>
          <cell r="C276" t="str">
            <v>Produksi menentukan : WHEEL LOADER</v>
          </cell>
          <cell r="G276" t="str">
            <v>Q1</v>
          </cell>
          <cell r="H276">
            <v>56.024999999999999</v>
          </cell>
          <cell r="I276" t="str">
            <v>M3/jam</v>
          </cell>
        </row>
        <row r="277">
          <cell r="C277" t="str">
            <v>Produksi agregat / hari  =  Tk x Q1</v>
          </cell>
          <cell r="G277" t="str">
            <v>Qt</v>
          </cell>
          <cell r="H277">
            <v>392.17500000000001</v>
          </cell>
          <cell r="I277" t="str">
            <v>M3</v>
          </cell>
        </row>
        <row r="278">
          <cell r="C278" t="str">
            <v>Kebutuhan tenaga :</v>
          </cell>
          <cell r="G278" t="str">
            <v>Fb</v>
          </cell>
          <cell r="H278">
            <v>0.9</v>
          </cell>
          <cell r="I278" t="str">
            <v>-</v>
          </cell>
        </row>
        <row r="279">
          <cell r="C279" t="str">
            <v>Faktor efisiensi alat</v>
          </cell>
          <cell r="D279" t="str">
            <v>- Pekerja</v>
          </cell>
          <cell r="G279" t="str">
            <v>P</v>
          </cell>
          <cell r="H279">
            <v>25</v>
          </cell>
          <cell r="I279" t="str">
            <v>orang</v>
          </cell>
        </row>
        <row r="280">
          <cell r="C280" t="str">
            <v>Waktu Siklus</v>
          </cell>
          <cell r="D280" t="str">
            <v>- Mandor</v>
          </cell>
          <cell r="G280" t="str">
            <v>M</v>
          </cell>
          <cell r="H280">
            <v>1</v>
          </cell>
          <cell r="I280" t="str">
            <v>orang</v>
          </cell>
        </row>
        <row r="281">
          <cell r="C281" t="str">
            <v>- Muat</v>
          </cell>
          <cell r="G281" t="str">
            <v>T1</v>
          </cell>
          <cell r="H281">
            <v>1.5</v>
          </cell>
          <cell r="I281" t="str">
            <v>menit</v>
          </cell>
        </row>
        <row r="282">
          <cell r="C282" t="str">
            <v>Koefisien tenaga / M3   :</v>
          </cell>
          <cell r="G282" t="str">
            <v>T2</v>
          </cell>
          <cell r="H282">
            <v>0.5</v>
          </cell>
          <cell r="I282" t="str">
            <v>menit</v>
          </cell>
        </row>
        <row r="283">
          <cell r="D283" t="str">
            <v>- Pekerja</v>
          </cell>
          <cell r="E283" t="str">
            <v>= (Tk x P) : Qt</v>
          </cell>
          <cell r="G283" t="str">
            <v>(L01)</v>
          </cell>
          <cell r="H283">
            <v>0.44619999999999999</v>
          </cell>
          <cell r="I283" t="str">
            <v>jam</v>
          </cell>
        </row>
        <row r="284">
          <cell r="D284" t="str">
            <v>- Mandor</v>
          </cell>
          <cell r="E284" t="str">
            <v>= (Tk x M) : Qt</v>
          </cell>
          <cell r="G284" t="str">
            <v>(L03)</v>
          </cell>
          <cell r="H284">
            <v>1.78E-2</v>
          </cell>
          <cell r="I284" t="str">
            <v>jam</v>
          </cell>
        </row>
        <row r="285">
          <cell r="J285" t="str">
            <v>Berlanjut ke hal. berikut.</v>
          </cell>
        </row>
        <row r="286">
          <cell r="A286" t="str">
            <v>ITEM PEMBAYARAN NO.</v>
          </cell>
          <cell r="D286" t="str">
            <v>:  6.3 (4)</v>
          </cell>
          <cell r="J286" t="str">
            <v>Analisa EI-634</v>
          </cell>
        </row>
        <row r="287">
          <cell r="A287" t="str">
            <v xml:space="preserve">JENIS PEKERJAAN                                  </v>
          </cell>
          <cell r="D287" t="str">
            <v>:  Asphalt Treated Base (ATB)</v>
          </cell>
        </row>
        <row r="288">
          <cell r="A288" t="str">
            <v>SATUAN PEMBAYARAN</v>
          </cell>
          <cell r="D288" t="str">
            <v>:  M3</v>
          </cell>
          <cell r="H288" t="str">
            <v xml:space="preserve">         URAIAN ANALISA HARGA SATUAN</v>
          </cell>
        </row>
        <row r="289">
          <cell r="J289" t="str">
            <v>Lanjutan</v>
          </cell>
        </row>
        <row r="291">
          <cell r="A291" t="str">
            <v>No.</v>
          </cell>
          <cell r="C291" t="str">
            <v>U R A I A N</v>
          </cell>
          <cell r="G291" t="str">
            <v>KODE</v>
          </cell>
          <cell r="H291" t="str">
            <v>KOEF.</v>
          </cell>
          <cell r="I291" t="str">
            <v>SATUAN</v>
          </cell>
          <cell r="J291" t="str">
            <v>KETERANGAN</v>
          </cell>
        </row>
        <row r="293">
          <cell r="J293" t="str">
            <v>Berlanjut ke halaman berikut</v>
          </cell>
        </row>
        <row r="294">
          <cell r="A294" t="str">
            <v>ITEM PEMBAYARAN NO.</v>
          </cell>
          <cell r="C294" t="str">
            <v xml:space="preserve">Kap. Prod./jam = </v>
          </cell>
          <cell r="D294" t="str">
            <v>:  8.1(2)</v>
          </cell>
          <cell r="G294" t="str">
            <v>Q1</v>
          </cell>
          <cell r="H294">
            <v>26.307400000000001</v>
          </cell>
          <cell r="I294" t="str">
            <v>M3</v>
          </cell>
          <cell r="J294" t="str">
            <v>Analisa EI-812</v>
          </cell>
        </row>
        <row r="295">
          <cell r="A295" t="str">
            <v>JENIS PEKERJAAN</v>
          </cell>
          <cell r="D295" t="str">
            <v>:  Pondasi Agregat Kls. B Untuk Pek. Minor</v>
          </cell>
        </row>
        <row r="296">
          <cell r="A296" t="str">
            <v>SATUAN PEMBAYARAN</v>
          </cell>
          <cell r="D296" t="str">
            <v>:  M3</v>
          </cell>
          <cell r="H296" t="str">
            <v xml:space="preserve">         URAIAN ANALISA HARGA SATUAN</v>
          </cell>
        </row>
        <row r="297">
          <cell r="C297" t="str">
            <v>Koefisien Alat / M3</v>
          </cell>
          <cell r="D297" t="str">
            <v xml:space="preserve"> = 1 : Q1</v>
          </cell>
          <cell r="G297" t="str">
            <v>(E15)</v>
          </cell>
          <cell r="H297">
            <v>3.7999999999999999E-2</v>
          </cell>
          <cell r="I297" t="str">
            <v>Jam</v>
          </cell>
          <cell r="J297" t="str">
            <v>Lanjutan</v>
          </cell>
        </row>
        <row r="299">
          <cell r="A299" t="str">
            <v>No.</v>
          </cell>
          <cell r="C299" t="str">
            <v>U R A I A N</v>
          </cell>
          <cell r="G299" t="str">
            <v>KODE</v>
          </cell>
          <cell r="H299" t="str">
            <v>KOEF.</v>
          </cell>
          <cell r="I299" t="str">
            <v>SATUAN</v>
          </cell>
          <cell r="J299" t="str">
            <v>KETERANGAN</v>
          </cell>
        </row>
        <row r="300">
          <cell r="C300" t="str">
            <v>Kapasitas produksi</v>
          </cell>
          <cell r="G300" t="str">
            <v>V</v>
          </cell>
          <cell r="H300">
            <v>30</v>
          </cell>
          <cell r="I300" t="str">
            <v>ton / Jam</v>
          </cell>
        </row>
        <row r="301">
          <cell r="C301" t="str">
            <v>Faktor Efisiensi alat</v>
          </cell>
          <cell r="G301" t="str">
            <v>Fa</v>
          </cell>
          <cell r="H301">
            <v>0.83</v>
          </cell>
          <cell r="I301" t="str">
            <v>-</v>
          </cell>
        </row>
        <row r="302">
          <cell r="A302" t="str">
            <v>4.</v>
          </cell>
          <cell r="C302" t="str">
            <v>HARGA DASAR SATUAN UPAH, BAHAN DAN ALAT</v>
          </cell>
        </row>
        <row r="303">
          <cell r="C303" t="str">
            <v>Lihat lampiran.</v>
          </cell>
          <cell r="D303" t="str">
            <v>V x Fa</v>
          </cell>
          <cell r="G303" t="str">
            <v>Q2</v>
          </cell>
          <cell r="H303">
            <v>10.8261</v>
          </cell>
          <cell r="I303" t="str">
            <v>M3</v>
          </cell>
        </row>
        <row r="304">
          <cell r="D304" t="str">
            <v xml:space="preserve">D1 </v>
          </cell>
        </row>
        <row r="305">
          <cell r="A305" t="str">
            <v>5.</v>
          </cell>
          <cell r="C305" t="str">
            <v>ANALISA HARGA SATUAN PEKERJAAN</v>
          </cell>
          <cell r="D305" t="str">
            <v xml:space="preserve"> = 1 : Q2</v>
          </cell>
          <cell r="G305" t="str">
            <v>(E01)</v>
          </cell>
          <cell r="H305">
            <v>9.2399999999999996E-2</v>
          </cell>
          <cell r="I305" t="str">
            <v>Jam</v>
          </cell>
        </row>
        <row r="306">
          <cell r="C306" t="str">
            <v>Lihat perhitungan dalam FORMULIR STANDAR UNTUK</v>
          </cell>
        </row>
        <row r="307">
          <cell r="A307" t="str">
            <v>2.c.</v>
          </cell>
          <cell r="C307" t="str">
            <v>PEREKAMAN ANALISA MASING-MASING HARGA</v>
          </cell>
          <cell r="G307" t="str">
            <v>(E12)</v>
          </cell>
        </row>
        <row r="308">
          <cell r="C308" t="str">
            <v>SATUAN.</v>
          </cell>
          <cell r="G308" t="str">
            <v>Q3</v>
          </cell>
          <cell r="H308">
            <v>10.8261</v>
          </cell>
          <cell r="I308" t="str">
            <v>M3</v>
          </cell>
        </row>
        <row r="309">
          <cell r="C309" t="str">
            <v>Didapat Harga Satuan Pekerjaan :</v>
          </cell>
          <cell r="D309" t="str">
            <v xml:space="preserve"> = 1 : Q3</v>
          </cell>
          <cell r="G309" t="str">
            <v>(E12)</v>
          </cell>
          <cell r="H309">
            <v>9.2399999999999996E-2</v>
          </cell>
          <cell r="I309" t="str">
            <v>Jam</v>
          </cell>
        </row>
        <row r="311">
          <cell r="A311" t="str">
            <v>2.d.</v>
          </cell>
          <cell r="C311" t="str">
            <v xml:space="preserve">Rp.  </v>
          </cell>
          <cell r="D311">
            <v>20641.289999999997</v>
          </cell>
          <cell r="E311" t="str">
            <v xml:space="preserve"> / M3.</v>
          </cell>
          <cell r="G311" t="str">
            <v>(E09)</v>
          </cell>
        </row>
        <row r="312">
          <cell r="C312" t="str">
            <v>Kapasitas bak</v>
          </cell>
          <cell r="G312" t="str">
            <v>V</v>
          </cell>
          <cell r="H312">
            <v>8</v>
          </cell>
          <cell r="I312" t="str">
            <v>ton</v>
          </cell>
        </row>
        <row r="313">
          <cell r="C313" t="str">
            <v>Faktor Efisiensi alat</v>
          </cell>
          <cell r="G313" t="str">
            <v>Fa</v>
          </cell>
          <cell r="H313">
            <v>0.83</v>
          </cell>
          <cell r="I313" t="str">
            <v>-</v>
          </cell>
        </row>
        <row r="314">
          <cell r="C314" t="str">
            <v>Kecepatan rata-rata bermuatan</v>
          </cell>
          <cell r="G314" t="str">
            <v>v1</v>
          </cell>
          <cell r="H314">
            <v>40</v>
          </cell>
          <cell r="I314" t="str">
            <v>Km / Jam</v>
          </cell>
        </row>
        <row r="315">
          <cell r="C315" t="str">
            <v>Kecepatan rata-rata kosong</v>
          </cell>
          <cell r="G315" t="str">
            <v>v2</v>
          </cell>
          <cell r="H315">
            <v>50</v>
          </cell>
          <cell r="I315" t="str">
            <v>Km / Jam</v>
          </cell>
        </row>
        <row r="316">
          <cell r="C316" t="str">
            <v>Kapasitas AMP / batch</v>
          </cell>
          <cell r="G316" t="str">
            <v>Q2b</v>
          </cell>
          <cell r="H316">
            <v>0.5</v>
          </cell>
          <cell r="I316" t="str">
            <v>ton</v>
          </cell>
        </row>
        <row r="317">
          <cell r="C317" t="str">
            <v>Waktu menyiapkan 1 batch ATB</v>
          </cell>
          <cell r="G317" t="str">
            <v>Tb</v>
          </cell>
          <cell r="H317">
            <v>1</v>
          </cell>
          <cell r="I317" t="str">
            <v>menit</v>
          </cell>
        </row>
        <row r="318">
          <cell r="C318" t="str">
            <v>Waktu Siklus</v>
          </cell>
          <cell r="G318" t="str">
            <v>Ts2</v>
          </cell>
        </row>
        <row r="319">
          <cell r="C319" t="str">
            <v xml:space="preserve">- Mengisi Bak </v>
          </cell>
          <cell r="D319" t="str">
            <v>= (V : Q2b) x Tb</v>
          </cell>
          <cell r="G319" t="str">
            <v>T1</v>
          </cell>
          <cell r="H319">
            <v>16</v>
          </cell>
          <cell r="I319" t="str">
            <v>menit</v>
          </cell>
        </row>
        <row r="320">
          <cell r="C320" t="str">
            <v>- Angkut</v>
          </cell>
          <cell r="D320" t="str">
            <v>= (L : v1) x 60 menit</v>
          </cell>
          <cell r="G320" t="str">
            <v>T2</v>
          </cell>
          <cell r="H320">
            <v>1.5</v>
          </cell>
          <cell r="I320" t="str">
            <v>menit</v>
          </cell>
        </row>
        <row r="321">
          <cell r="C321" t="str">
            <v>- Tunggu + dump + Putar</v>
          </cell>
          <cell r="G321" t="str">
            <v>T3</v>
          </cell>
          <cell r="H321">
            <v>15</v>
          </cell>
          <cell r="I321" t="str">
            <v>menit</v>
          </cell>
        </row>
        <row r="322">
          <cell r="C322" t="str">
            <v>- Kembali</v>
          </cell>
          <cell r="D322" t="str">
            <v>= (L : v2) x 60 menit</v>
          </cell>
          <cell r="G322" t="str">
            <v>T4</v>
          </cell>
          <cell r="H322">
            <v>1.2</v>
          </cell>
          <cell r="I322" t="str">
            <v>menit</v>
          </cell>
        </row>
        <row r="323">
          <cell r="G323" t="str">
            <v>Ts2</v>
          </cell>
          <cell r="H323">
            <v>33.700000000000003</v>
          </cell>
          <cell r="I323" t="str">
            <v>menit</v>
          </cell>
        </row>
        <row r="325">
          <cell r="C325" t="str">
            <v>Kap.Prod. / jam =</v>
          </cell>
          <cell r="D325" t="str">
            <v>V x Fa x 60</v>
          </cell>
          <cell r="G325" t="str">
            <v>Q4</v>
          </cell>
          <cell r="H325">
            <v>5.14</v>
          </cell>
          <cell r="I325" t="str">
            <v>M3</v>
          </cell>
        </row>
        <row r="326">
          <cell r="D326" t="str">
            <v>D1 x Ts2</v>
          </cell>
        </row>
        <row r="327">
          <cell r="C327" t="str">
            <v>Koefisien Alat / M3</v>
          </cell>
          <cell r="D327" t="str">
            <v xml:space="preserve"> = 1 : Q4</v>
          </cell>
          <cell r="G327" t="str">
            <v>(E09)</v>
          </cell>
          <cell r="H327">
            <v>0.1946</v>
          </cell>
          <cell r="I327" t="str">
            <v>Jam</v>
          </cell>
        </row>
        <row r="329">
          <cell r="A329" t="str">
            <v>2.e.</v>
          </cell>
          <cell r="C329" t="str">
            <v>ASPHALT FINISHER</v>
          </cell>
          <cell r="D329" t="str">
            <v/>
          </cell>
          <cell r="G329" t="str">
            <v>(E02)</v>
          </cell>
        </row>
        <row r="330">
          <cell r="C330" t="str">
            <v>Kapasitas produksi</v>
          </cell>
          <cell r="G330" t="str">
            <v>V</v>
          </cell>
          <cell r="H330">
            <v>40</v>
          </cell>
          <cell r="I330" t="str">
            <v>ton / Jam</v>
          </cell>
        </row>
        <row r="331">
          <cell r="C331" t="str">
            <v>Faktor efisiensi alat</v>
          </cell>
          <cell r="G331" t="str">
            <v>Fa</v>
          </cell>
          <cell r="H331">
            <v>0.75</v>
          </cell>
          <cell r="I331" t="str">
            <v>-</v>
          </cell>
        </row>
        <row r="332">
          <cell r="C332" t="str">
            <v>Kap.Prod. / jam =</v>
          </cell>
          <cell r="D332" t="str">
            <v xml:space="preserve">V x Fa </v>
          </cell>
          <cell r="G332" t="str">
            <v>Q5</v>
          </cell>
          <cell r="H332">
            <v>13.0435</v>
          </cell>
          <cell r="I332" t="str">
            <v>M3</v>
          </cell>
        </row>
        <row r="333">
          <cell r="D333" t="str">
            <v xml:space="preserve">D1  </v>
          </cell>
        </row>
        <row r="334">
          <cell r="C334" t="str">
            <v>Koefisien Alat / M3</v>
          </cell>
          <cell r="D334" t="str">
            <v xml:space="preserve"> = 1 : Q5</v>
          </cell>
          <cell r="G334" t="str">
            <v>(E02)</v>
          </cell>
          <cell r="H334">
            <v>7.6700000000000004E-2</v>
          </cell>
          <cell r="I334" t="str">
            <v>Jam</v>
          </cell>
          <cell r="J334" t="str">
            <v/>
          </cell>
        </row>
        <row r="336">
          <cell r="A336" t="str">
            <v>2.f.</v>
          </cell>
          <cell r="C336" t="str">
            <v>TANDEM ROLLER</v>
          </cell>
          <cell r="G336" t="str">
            <v>(E17)</v>
          </cell>
        </row>
        <row r="337">
          <cell r="A337" t="str">
            <v/>
          </cell>
          <cell r="C337" t="str">
            <v>Kecepatan rata-rata alat</v>
          </cell>
          <cell r="G337" t="str">
            <v>v</v>
          </cell>
          <cell r="H337">
            <v>3.5</v>
          </cell>
          <cell r="I337" t="str">
            <v>Km / Jam</v>
          </cell>
        </row>
        <row r="338">
          <cell r="C338" t="str">
            <v>Lebar efektif pemadatan</v>
          </cell>
          <cell r="G338" t="str">
            <v>b</v>
          </cell>
          <cell r="H338">
            <v>1.2</v>
          </cell>
          <cell r="I338" t="str">
            <v>M</v>
          </cell>
        </row>
        <row r="339">
          <cell r="C339" t="str">
            <v>Jumlah lintasan</v>
          </cell>
          <cell r="G339" t="str">
            <v>n</v>
          </cell>
          <cell r="H339">
            <v>8</v>
          </cell>
          <cell r="I339" t="str">
            <v>lintasan</v>
          </cell>
          <cell r="J339" t="str">
            <v xml:space="preserve"> 4 Awal &amp; 4 Akhir</v>
          </cell>
        </row>
        <row r="340">
          <cell r="C340" t="str">
            <v>Faktor Efisiensi alat</v>
          </cell>
          <cell r="G340" t="str">
            <v>Fa</v>
          </cell>
          <cell r="H340">
            <v>0.83</v>
          </cell>
          <cell r="I340" t="str">
            <v>-</v>
          </cell>
        </row>
        <row r="341">
          <cell r="C341" t="str">
            <v/>
          </cell>
        </row>
        <row r="342">
          <cell r="J342" t="str">
            <v>Berlanjut ke hal. berikut.</v>
          </cell>
        </row>
        <row r="343">
          <cell r="A343" t="str">
            <v>ITEM PEMBAYARAN NO.</v>
          </cell>
          <cell r="D343" t="str">
            <v>:  6.3 (4)</v>
          </cell>
          <cell r="J343" t="str">
            <v>Analisa EI-634</v>
          </cell>
        </row>
        <row r="344">
          <cell r="A344" t="str">
            <v>JENIS PEKERJAAN</v>
          </cell>
          <cell r="D344" t="str">
            <v>:  Asphalt Treated Base (ATB)</v>
          </cell>
        </row>
        <row r="345">
          <cell r="A345" t="str">
            <v>SATUAN PEMBAYARAN</v>
          </cell>
          <cell r="D345" t="str">
            <v>:  M3</v>
          </cell>
          <cell r="H345" t="str">
            <v xml:space="preserve">         URAIAN ANALISA HARGA SATUAN</v>
          </cell>
        </row>
        <row r="346">
          <cell r="J346" t="str">
            <v>Lanjutan</v>
          </cell>
        </row>
        <row r="348">
          <cell r="A348" t="str">
            <v>No.</v>
          </cell>
          <cell r="C348" t="str">
            <v>U R A I A N</v>
          </cell>
          <cell r="G348" t="str">
            <v>KODE</v>
          </cell>
          <cell r="H348" t="str">
            <v>KOEF.</v>
          </cell>
          <cell r="I348" t="str">
            <v>SATUAN</v>
          </cell>
          <cell r="J348" t="str">
            <v>KETERANGAN</v>
          </cell>
        </row>
        <row r="351">
          <cell r="B351" t="str">
            <v/>
          </cell>
          <cell r="C351" t="str">
            <v xml:space="preserve">Kap. Prod./jam = </v>
          </cell>
          <cell r="D351" t="str">
            <v>(v x 1000) x b x t x Fa</v>
          </cell>
          <cell r="G351" t="str">
            <v>Q6</v>
          </cell>
          <cell r="H351">
            <v>21.787500000000001</v>
          </cell>
          <cell r="I351" t="str">
            <v>M3</v>
          </cell>
        </row>
        <row r="352">
          <cell r="D352" t="str">
            <v>n</v>
          </cell>
        </row>
        <row r="353">
          <cell r="A353" t="str">
            <v>ITEM PEMBAYARAN NO.</v>
          </cell>
          <cell r="C353" t="str">
            <v>Koefisien Alat / M3</v>
          </cell>
          <cell r="D353" t="str">
            <v>:  8.1 (7)</v>
          </cell>
          <cell r="G353" t="str">
            <v>(E17)</v>
          </cell>
          <cell r="H353">
            <v>4.5900000000000003E-2</v>
          </cell>
          <cell r="I353" t="str">
            <v>Jam</v>
          </cell>
          <cell r="J353" t="str">
            <v>Analisa EI-817</v>
          </cell>
        </row>
        <row r="354">
          <cell r="A354" t="str">
            <v>JENIS PEKERJAAN</v>
          </cell>
          <cell r="C354" t="str">
            <v/>
          </cell>
          <cell r="D354" t="str">
            <v>:  Penetrasi Macadam Utk.Pek.Minor</v>
          </cell>
        </row>
        <row r="355">
          <cell r="A355" t="str">
            <v>SATUAN PEMBAYARAN</v>
          </cell>
          <cell r="C355" t="str">
            <v>PNEUMATIC TIRE ROLLER</v>
          </cell>
          <cell r="D355" t="str">
            <v>:  M3</v>
          </cell>
          <cell r="G355" t="str">
            <v>(E18)</v>
          </cell>
          <cell r="H355" t="str">
            <v xml:space="preserve">         URAIAN ANALISA HARGA SATUAN</v>
          </cell>
        </row>
        <row r="356">
          <cell r="C356" t="str">
            <v>Kecepatan rata-rata</v>
          </cell>
          <cell r="G356" t="str">
            <v>v</v>
          </cell>
          <cell r="H356">
            <v>5</v>
          </cell>
          <cell r="I356" t="str">
            <v>KM / Jam</v>
          </cell>
        </row>
        <row r="357">
          <cell r="C357" t="str">
            <v>Lebar efektif pemadatan</v>
          </cell>
          <cell r="G357" t="str">
            <v>b</v>
          </cell>
          <cell r="H357">
            <v>1.5</v>
          </cell>
          <cell r="I357" t="str">
            <v>M</v>
          </cell>
        </row>
        <row r="358">
          <cell r="A358" t="str">
            <v>No.</v>
          </cell>
          <cell r="C358" t="str">
            <v>U R A I A N</v>
          </cell>
          <cell r="G358" t="str">
            <v>KODE</v>
          </cell>
          <cell r="H358" t="str">
            <v>KOEF.</v>
          </cell>
          <cell r="I358" t="str">
            <v>SATUAN</v>
          </cell>
          <cell r="J358" t="str">
            <v>KETERANGAN</v>
          </cell>
        </row>
        <row r="359">
          <cell r="C359" t="str">
            <v>Faktor Efisiensi alat</v>
          </cell>
          <cell r="G359" t="str">
            <v>Fa</v>
          </cell>
          <cell r="H359">
            <v>0.83</v>
          </cell>
          <cell r="I359" t="str">
            <v>-</v>
          </cell>
        </row>
        <row r="361">
          <cell r="A361" t="str">
            <v>I.</v>
          </cell>
          <cell r="C361" t="str">
            <v>ASUMSI</v>
          </cell>
          <cell r="D361" t="str">
            <v>(v x 1000) x b x t x Fa</v>
          </cell>
          <cell r="G361" t="str">
            <v>Q7</v>
          </cell>
          <cell r="H361">
            <v>38.906300000000002</v>
          </cell>
          <cell r="I361" t="str">
            <v>M3</v>
          </cell>
        </row>
        <row r="362">
          <cell r="A362">
            <v>1</v>
          </cell>
          <cell r="C362" t="str">
            <v>Menggunakan alat berat (cara mekanik)</v>
          </cell>
          <cell r="D362" t="str">
            <v>n</v>
          </cell>
        </row>
        <row r="363">
          <cell r="A363">
            <v>2</v>
          </cell>
          <cell r="C363" t="str">
            <v>Lokasi pekerjaan : sepanjang jalan</v>
          </cell>
          <cell r="D363" t="str">
            <v xml:space="preserve"> = 1 : Q7</v>
          </cell>
          <cell r="G363" t="str">
            <v>(E18)</v>
          </cell>
          <cell r="H363">
            <v>2.5700000000000001E-2</v>
          </cell>
          <cell r="I363" t="str">
            <v>Jam</v>
          </cell>
        </row>
        <row r="364">
          <cell r="A364">
            <v>3</v>
          </cell>
          <cell r="C364" t="str">
            <v>Kondisi existing jalan : sedang</v>
          </cell>
        </row>
        <row r="365">
          <cell r="A365">
            <v>4</v>
          </cell>
          <cell r="C365" t="str">
            <v>Jarak rata-rata Base Camp ke lokasi pekerjaan</v>
          </cell>
          <cell r="G365" t="str">
            <v>L</v>
          </cell>
          <cell r="H365">
            <v>1</v>
          </cell>
          <cell r="I365" t="str">
            <v>KM</v>
          </cell>
        </row>
        <row r="366">
          <cell r="A366">
            <v>5</v>
          </cell>
          <cell r="C366" t="str">
            <v>Tebal rata2 Lapen</v>
          </cell>
          <cell r="G366" t="str">
            <v>t</v>
          </cell>
          <cell r="H366">
            <v>0.05</v>
          </cell>
          <cell r="I366" t="str">
            <v>M</v>
          </cell>
          <cell r="J366" t="str">
            <v>Lump Sum</v>
          </cell>
        </row>
        <row r="367">
          <cell r="A367">
            <v>6</v>
          </cell>
          <cell r="C367" t="str">
            <v>Jam kerja efektif per-hari</v>
          </cell>
          <cell r="G367" t="str">
            <v>Tk</v>
          </cell>
          <cell r="H367">
            <v>7</v>
          </cell>
          <cell r="I367" t="str">
            <v>Jam</v>
          </cell>
        </row>
        <row r="368">
          <cell r="A368">
            <v>7</v>
          </cell>
          <cell r="C368" t="str">
            <v>Faktor kehilanganmaterial :</v>
          </cell>
          <cell r="E368" t="str">
            <v>- Agregat</v>
          </cell>
          <cell r="G368" t="str">
            <v>Fh1</v>
          </cell>
          <cell r="H368">
            <v>1.1000000000000001</v>
          </cell>
          <cell r="I368" t="str">
            <v>-</v>
          </cell>
        </row>
        <row r="369">
          <cell r="A369" t="str">
            <v/>
          </cell>
          <cell r="C369" t="str">
            <v>- Garpu                = 2 buah</v>
          </cell>
          <cell r="E369" t="str">
            <v>- Aspal</v>
          </cell>
          <cell r="G369" t="str">
            <v>Fh2</v>
          </cell>
          <cell r="H369">
            <v>1.05</v>
          </cell>
          <cell r="I369" t="str">
            <v>-</v>
          </cell>
        </row>
        <row r="370">
          <cell r="A370">
            <v>8</v>
          </cell>
          <cell r="C370" t="str">
            <v>Komposisi campuran Lapen (spesifikasi)  :</v>
          </cell>
        </row>
        <row r="371">
          <cell r="C371" t="str">
            <v>- Agregat Pokok</v>
          </cell>
          <cell r="G371" t="str">
            <v>Ak</v>
          </cell>
          <cell r="H371">
            <v>105</v>
          </cell>
          <cell r="I371" t="str">
            <v>Kg/M2</v>
          </cell>
          <cell r="J371" t="str">
            <v xml:space="preserve"> Tabel 6.6.3.</v>
          </cell>
        </row>
        <row r="372">
          <cell r="A372" t="str">
            <v xml:space="preserve">   3.</v>
          </cell>
          <cell r="C372" t="str">
            <v>- Agregat Pengunci</v>
          </cell>
          <cell r="G372" t="str">
            <v>Ap</v>
          </cell>
          <cell r="H372">
            <v>25</v>
          </cell>
          <cell r="I372" t="str">
            <v>Kg/M2</v>
          </cell>
          <cell r="J372" t="str">
            <v xml:space="preserve"> Tabel 6.6.3.</v>
          </cell>
        </row>
        <row r="373">
          <cell r="C373" t="str">
            <v>- Agregat Penutup</v>
          </cell>
          <cell r="G373" t="str">
            <v>Ap2</v>
          </cell>
          <cell r="H373">
            <v>14</v>
          </cell>
          <cell r="I373" t="str">
            <v>Kg/M2</v>
          </cell>
          <cell r="J373" t="str">
            <v xml:space="preserve"> Tabel 6.6.3.</v>
          </cell>
        </row>
        <row r="374">
          <cell r="C374" t="str">
            <v>- Aspal                :</v>
          </cell>
          <cell r="D374" t="str">
            <v>- Paska Agregat Pokok 3,7 kg/M2</v>
          </cell>
          <cell r="G374" t="str">
            <v>As1</v>
          </cell>
          <cell r="H374">
            <v>5.2</v>
          </cell>
          <cell r="I374" t="str">
            <v>Kg/M2</v>
          </cell>
          <cell r="J374" t="str">
            <v xml:space="preserve"> Tabel 6.6.3.</v>
          </cell>
        </row>
        <row r="375">
          <cell r="C375" t="str">
            <v>Kebutuhan tenaga :</v>
          </cell>
          <cell r="G375" t="str">
            <v>As2</v>
          </cell>
          <cell r="H375">
            <v>104</v>
          </cell>
          <cell r="I375" t="str">
            <v>Kg/M3</v>
          </cell>
          <cell r="J375" t="str">
            <v xml:space="preserve"> (As1 : t)</v>
          </cell>
        </row>
        <row r="376">
          <cell r="A376">
            <v>9</v>
          </cell>
          <cell r="C376" t="str">
            <v>Berat jenis bahan  :</v>
          </cell>
          <cell r="D376" t="str">
            <v>- Pekerja</v>
          </cell>
          <cell r="G376" t="str">
            <v>P</v>
          </cell>
          <cell r="H376">
            <v>7</v>
          </cell>
          <cell r="I376" t="str">
            <v>orang</v>
          </cell>
        </row>
        <row r="377">
          <cell r="C377" t="str">
            <v>- Agregat</v>
          </cell>
          <cell r="D377" t="str">
            <v>- Mandor</v>
          </cell>
          <cell r="G377" t="str">
            <v>D1</v>
          </cell>
          <cell r="H377">
            <v>1.8</v>
          </cell>
          <cell r="I377" t="str">
            <v>ton / M3</v>
          </cell>
        </row>
        <row r="378">
          <cell r="C378" t="str">
            <v>- Aspal</v>
          </cell>
          <cell r="G378" t="str">
            <v>D2</v>
          </cell>
          <cell r="H378">
            <v>1.01</v>
          </cell>
          <cell r="I378" t="str">
            <v>ton / M3</v>
          </cell>
        </row>
        <row r="379">
          <cell r="C379" t="str">
            <v>- Agregat Penutup ( Pasir )</v>
          </cell>
          <cell r="G379" t="str">
            <v>D3</v>
          </cell>
          <cell r="H379">
            <v>1.67</v>
          </cell>
          <cell r="I379" t="str">
            <v>ton / M3</v>
          </cell>
        </row>
        <row r="380">
          <cell r="D380" t="str">
            <v>- Pekerja</v>
          </cell>
          <cell r="E380" t="str">
            <v>= (Tk x P) / Qt</v>
          </cell>
          <cell r="G380" t="str">
            <v>(L01)</v>
          </cell>
          <cell r="H380">
            <v>0.64659999999999995</v>
          </cell>
          <cell r="I380" t="str">
            <v>Jam</v>
          </cell>
        </row>
        <row r="381">
          <cell r="D381" t="str">
            <v>- Mandor</v>
          </cell>
          <cell r="E381" t="str">
            <v>= (Tk x M) / Qt</v>
          </cell>
          <cell r="G381" t="str">
            <v>(L03)</v>
          </cell>
          <cell r="H381">
            <v>9.2399999999999996E-2</v>
          </cell>
          <cell r="I381" t="str">
            <v>Jam</v>
          </cell>
        </row>
        <row r="382">
          <cell r="A382" t="str">
            <v>II.</v>
          </cell>
          <cell r="C382" t="str">
            <v>URUTAN KERJA</v>
          </cell>
        </row>
        <row r="383">
          <cell r="A383">
            <v>1</v>
          </cell>
          <cell r="C383" t="str">
            <v>Permukaan dasar dibersihkan dan disemprot aspal cair</v>
          </cell>
        </row>
        <row r="384">
          <cell r="C384" t="str">
            <v>bilamana diperlukan</v>
          </cell>
        </row>
        <row r="385">
          <cell r="A385">
            <v>2</v>
          </cell>
          <cell r="C385" t="str">
            <v>Agregat kasar dimuat ke dalam Dump Truck</v>
          </cell>
        </row>
        <row r="386">
          <cell r="A386" t="str">
            <v>5.</v>
          </cell>
          <cell r="C386" t="str">
            <v>menggunakan Wheel Loader (di Base Camp)</v>
          </cell>
        </row>
        <row r="387">
          <cell r="A387">
            <v>3</v>
          </cell>
          <cell r="C387" t="str">
            <v>Agregat Kasar ditebarkan (manual) sesuai tebal yang diperlukan</v>
          </cell>
        </row>
        <row r="388">
          <cell r="C388" t="str">
            <v>dan dipadatkan dengan Three Wheel Roller (6-8 ton) 6 lintasan</v>
          </cell>
        </row>
        <row r="389">
          <cell r="A389">
            <v>4</v>
          </cell>
          <cell r="C389" t="str">
            <v>Aspal disemprotkan di atas agregat kasar yang telah</v>
          </cell>
        </row>
        <row r="390">
          <cell r="C390" t="str">
            <v>diratakan menggunakan Aspal Sprayer (merata)</v>
          </cell>
        </row>
        <row r="391">
          <cell r="A391">
            <v>5</v>
          </cell>
          <cell r="C391" t="str">
            <v>Agregat Pengunci ditebarkan dan dipadatkan dengan</v>
          </cell>
        </row>
        <row r="392">
          <cell r="A392" t="str">
            <v/>
          </cell>
          <cell r="C392" t="str">
            <v>cara yang sama dengan pemadatan agregat kasar</v>
          </cell>
          <cell r="D392">
            <v>928065.15000000014</v>
          </cell>
          <cell r="E392" t="str">
            <v xml:space="preserve"> / M3.</v>
          </cell>
        </row>
        <row r="394">
          <cell r="A394" t="str">
            <v>III.</v>
          </cell>
          <cell r="C394" t="str">
            <v>PEMAKAIAN BAHAN, ALAT DAN TENAGA</v>
          </cell>
        </row>
        <row r="396">
          <cell r="A396" t="str">
            <v xml:space="preserve">   1.</v>
          </cell>
          <cell r="C396" t="str">
            <v>BAHAN</v>
          </cell>
        </row>
        <row r="397">
          <cell r="A397" t="str">
            <v>1.a.</v>
          </cell>
          <cell r="C397" t="str">
            <v>Agregat Kasar</v>
          </cell>
          <cell r="D397" t="str">
            <v>=  {(Ak/1000 : t M3) x Fh1} : D1</v>
          </cell>
          <cell r="G397" t="str">
            <v>(M03a)</v>
          </cell>
          <cell r="H397">
            <v>1.2833000000000001</v>
          </cell>
          <cell r="I397" t="str">
            <v>M3</v>
          </cell>
        </row>
        <row r="398">
          <cell r="A398" t="str">
            <v>1.b.</v>
          </cell>
          <cell r="C398" t="str">
            <v>Agregat Pengunci</v>
          </cell>
          <cell r="D398" t="str">
            <v>=  {(Ap/1000 : t M3) x Fh1} : D1</v>
          </cell>
          <cell r="G398" t="str">
            <v>(M04a)</v>
          </cell>
          <cell r="H398">
            <v>0.30559999999999998</v>
          </cell>
          <cell r="I398" t="str">
            <v>M3</v>
          </cell>
        </row>
        <row r="399">
          <cell r="A399" t="str">
            <v>1.c.</v>
          </cell>
          <cell r="C399" t="str">
            <v>Agregat Penutup</v>
          </cell>
          <cell r="D399" t="str">
            <v>=  {(Ap2/1000 : t M3) x Fh1} : D3</v>
          </cell>
          <cell r="G399" t="str">
            <v>(M01)</v>
          </cell>
          <cell r="H399">
            <v>0.18440000000000001</v>
          </cell>
          <cell r="I399" t="str">
            <v>M3</v>
          </cell>
        </row>
        <row r="400">
          <cell r="A400" t="str">
            <v>1.d.</v>
          </cell>
          <cell r="C400" t="str">
            <v>Aspal</v>
          </cell>
          <cell r="D400" t="str">
            <v>=  {(As : t M3) x Fh2}</v>
          </cell>
          <cell r="G400" t="str">
            <v>(M10)</v>
          </cell>
          <cell r="H400">
            <v>109.2</v>
          </cell>
          <cell r="I400" t="str">
            <v>Kg</v>
          </cell>
          <cell r="J400" t="str">
            <v>Analisa EI-661</v>
          </cell>
        </row>
        <row r="401">
          <cell r="A401" t="str">
            <v>JENIS PEKERJAAN</v>
          </cell>
          <cell r="D401" t="str">
            <v>:  Lapis Pen. Macadam Permukaan</v>
          </cell>
        </row>
        <row r="402">
          <cell r="A402" t="str">
            <v>2.</v>
          </cell>
          <cell r="C402" t="str">
            <v>ALAT</v>
          </cell>
          <cell r="D402" t="str">
            <v>:  M3</v>
          </cell>
          <cell r="H402" t="str">
            <v xml:space="preserve">         URAIAN ANALISA HARGA SATUAN</v>
          </cell>
        </row>
        <row r="403">
          <cell r="A403" t="str">
            <v>2.a.</v>
          </cell>
          <cell r="C403" t="str">
            <v>WHEEL LOADER</v>
          </cell>
          <cell r="G403" t="str">
            <v>(E15)</v>
          </cell>
        </row>
        <row r="404">
          <cell r="C404" t="str">
            <v>Kapasitas bucket</v>
          </cell>
          <cell r="G404" t="str">
            <v>V</v>
          </cell>
          <cell r="H404">
            <v>0</v>
          </cell>
          <cell r="I404" t="str">
            <v>M3</v>
          </cell>
        </row>
        <row r="405">
          <cell r="A405" t="str">
            <v>No.</v>
          </cell>
          <cell r="C405" t="str">
            <v>Faktor bucket</v>
          </cell>
          <cell r="G405" t="str">
            <v>Fb</v>
          </cell>
          <cell r="H405">
            <v>0</v>
          </cell>
          <cell r="I405" t="str">
            <v>-</v>
          </cell>
          <cell r="J405" t="str">
            <v>KETERANGAN</v>
          </cell>
        </row>
        <row r="406">
          <cell r="C406" t="str">
            <v>Faktor efisiensi alat</v>
          </cell>
          <cell r="G406" t="str">
            <v>Fa</v>
          </cell>
          <cell r="H406">
            <v>0</v>
          </cell>
          <cell r="I406" t="str">
            <v>-</v>
          </cell>
        </row>
        <row r="407">
          <cell r="C407" t="str">
            <v>Waktu Siklus</v>
          </cell>
          <cell r="G407" t="str">
            <v>Ts1</v>
          </cell>
        </row>
        <row r="408">
          <cell r="A408" t="str">
            <v>I.</v>
          </cell>
          <cell r="C408" t="str">
            <v>- Memuat, menuang, kembali</v>
          </cell>
          <cell r="G408" t="str">
            <v>T1</v>
          </cell>
          <cell r="H408">
            <v>0</v>
          </cell>
          <cell r="I408" t="str">
            <v>menit</v>
          </cell>
        </row>
        <row r="409">
          <cell r="A409">
            <v>1</v>
          </cell>
          <cell r="C409" t="str">
            <v>- Menunggu, dan lain lain</v>
          </cell>
          <cell r="G409" t="str">
            <v>T2</v>
          </cell>
          <cell r="H409">
            <v>0</v>
          </cell>
          <cell r="I409" t="str">
            <v>menit</v>
          </cell>
        </row>
        <row r="410">
          <cell r="A410">
            <v>2</v>
          </cell>
          <cell r="C410" t="str">
            <v>Lokasi pekerjaan : sekitar jembatan</v>
          </cell>
          <cell r="G410" t="str">
            <v>Ts1</v>
          </cell>
          <cell r="H410">
            <v>0</v>
          </cell>
          <cell r="I410" t="str">
            <v>menit</v>
          </cell>
        </row>
        <row r="411">
          <cell r="A411">
            <v>3</v>
          </cell>
          <cell r="C411" t="str">
            <v>Kondisi existing jalan : sedang</v>
          </cell>
        </row>
        <row r="412">
          <cell r="A412">
            <v>4</v>
          </cell>
          <cell r="C412" t="str">
            <v>Jarak rata-rata Base Camp ke lokasi pekerjaan</v>
          </cell>
          <cell r="G412" t="str">
            <v>L</v>
          </cell>
          <cell r="H412">
            <v>1</v>
          </cell>
          <cell r="I412" t="str">
            <v>KM</v>
          </cell>
          <cell r="J412" t="str">
            <v>Berlanjut ke halaman berikut</v>
          </cell>
        </row>
        <row r="413">
          <cell r="A413" t="str">
            <v>ITEM PEMBAYARAN NO.</v>
          </cell>
          <cell r="C413" t="str">
            <v>Tebal rata2 Lapen</v>
          </cell>
          <cell r="D413" t="str">
            <v>:  8.1 (7)</v>
          </cell>
          <cell r="G413" t="str">
            <v>t</v>
          </cell>
          <cell r="H413">
            <v>0.05</v>
          </cell>
          <cell r="I413" t="str">
            <v>M</v>
          </cell>
          <cell r="J413" t="str">
            <v>Analisa EI-817</v>
          </cell>
        </row>
        <row r="414">
          <cell r="A414" t="str">
            <v>JENIS PEKERJAAN</v>
          </cell>
          <cell r="C414" t="str">
            <v>Jam kerja efektif per-hari</v>
          </cell>
          <cell r="D414" t="str">
            <v>:  Penetrasi Macadam Utk.Pek.Minor</v>
          </cell>
          <cell r="G414" t="str">
            <v>Tk</v>
          </cell>
          <cell r="H414">
            <v>7</v>
          </cell>
          <cell r="I414" t="str">
            <v>Jam</v>
          </cell>
        </row>
        <row r="415">
          <cell r="A415" t="str">
            <v>SATUAN PEMBAYARAN</v>
          </cell>
          <cell r="C415" t="str">
            <v>Faktor kehilanganmaterial :</v>
          </cell>
          <cell r="D415" t="str">
            <v>:  M3</v>
          </cell>
          <cell r="E415" t="str">
            <v>- Agregat</v>
          </cell>
          <cell r="G415" t="str">
            <v>Fh1</v>
          </cell>
          <cell r="H415" t="str">
            <v xml:space="preserve">         URAIAN ANALISA HARGA SATUAN</v>
          </cell>
          <cell r="I415" t="str">
            <v>-</v>
          </cell>
        </row>
        <row r="416">
          <cell r="A416" t="str">
            <v/>
          </cell>
          <cell r="E416" t="str">
            <v>- Aspal</v>
          </cell>
          <cell r="G416" t="str">
            <v>Fh2</v>
          </cell>
          <cell r="H416">
            <v>1.05</v>
          </cell>
          <cell r="I416" t="str">
            <v>-</v>
          </cell>
          <cell r="J416" t="str">
            <v>Lanjutan</v>
          </cell>
        </row>
        <row r="417">
          <cell r="A417">
            <v>8</v>
          </cell>
          <cell r="C417" t="str">
            <v>Komposisi campuran Lapen (spesifikasi)  :</v>
          </cell>
        </row>
        <row r="418">
          <cell r="A418" t="str">
            <v>No.</v>
          </cell>
          <cell r="C418" t="str">
            <v>U R A I A N</v>
          </cell>
          <cell r="G418" t="str">
            <v>KODE</v>
          </cell>
          <cell r="H418" t="str">
            <v>KOEF.</v>
          </cell>
          <cell r="I418" t="str">
            <v>SATUAN</v>
          </cell>
          <cell r="J418" t="str">
            <v>KETERANGAN</v>
          </cell>
        </row>
        <row r="419">
          <cell r="C419" t="str">
            <v>- Agregat Pengunci</v>
          </cell>
          <cell r="G419" t="str">
            <v>Ap1</v>
          </cell>
          <cell r="H419">
            <v>25</v>
          </cell>
          <cell r="I419" t="str">
            <v>Kg/M2</v>
          </cell>
          <cell r="J419" t="str">
            <v xml:space="preserve"> Tabel 6.6.3.</v>
          </cell>
        </row>
        <row r="420">
          <cell r="C420" t="str">
            <v>- Agregat Penutup</v>
          </cell>
          <cell r="G420" t="str">
            <v>Ap2</v>
          </cell>
          <cell r="H420">
            <v>14</v>
          </cell>
          <cell r="I420" t="str">
            <v>Kg/M2</v>
          </cell>
          <cell r="J420" t="str">
            <v xml:space="preserve"> Tabel 6.6.3.</v>
          </cell>
        </row>
        <row r="421">
          <cell r="C421" t="str">
            <v xml:space="preserve">Kap. Prod. / jam = </v>
          </cell>
          <cell r="D421" t="str">
            <v>V x Fb x Fa x 60</v>
          </cell>
          <cell r="G421" t="str">
            <v>Q1</v>
          </cell>
          <cell r="H421">
            <v>0</v>
          </cell>
          <cell r="I421" t="str">
            <v>M3</v>
          </cell>
          <cell r="J421" t="str">
            <v/>
          </cell>
        </row>
        <row r="422">
          <cell r="D422" t="str">
            <v>Ts1</v>
          </cell>
          <cell r="G422" t="str">
            <v>As2</v>
          </cell>
          <cell r="H422">
            <v>1.5</v>
          </cell>
          <cell r="I422" t="str">
            <v>Kg/M2</v>
          </cell>
          <cell r="J422" t="str">
            <v xml:space="preserve"> Tabel 6.6.3.</v>
          </cell>
        </row>
        <row r="423">
          <cell r="G423" t="str">
            <v>As</v>
          </cell>
          <cell r="H423">
            <v>104</v>
          </cell>
          <cell r="I423" t="str">
            <v>Kg/M3</v>
          </cell>
        </row>
        <row r="424">
          <cell r="A424">
            <v>9</v>
          </cell>
          <cell r="C424" t="str">
            <v>Koefisien Alat/M3</v>
          </cell>
          <cell r="D424" t="str">
            <v xml:space="preserve"> = 1 : Q1</v>
          </cell>
          <cell r="G424" t="str">
            <v>(E15)</v>
          </cell>
          <cell r="H424">
            <v>0</v>
          </cell>
          <cell r="I424" t="str">
            <v>Jam</v>
          </cell>
        </row>
        <row r="425">
          <cell r="C425" t="str">
            <v>- Agregat</v>
          </cell>
          <cell r="G425" t="str">
            <v>D1</v>
          </cell>
          <cell r="H425">
            <v>1.8</v>
          </cell>
          <cell r="I425" t="str">
            <v>ton / M3</v>
          </cell>
        </row>
        <row r="426">
          <cell r="A426" t="str">
            <v>2.b.</v>
          </cell>
          <cell r="C426" t="str">
            <v>DUMP TRUCK (DT)</v>
          </cell>
          <cell r="G426" t="str">
            <v>(E09)</v>
          </cell>
          <cell r="H426">
            <v>1.01</v>
          </cell>
          <cell r="I426" t="str">
            <v>ton / M3</v>
          </cell>
        </row>
        <row r="427">
          <cell r="C427" t="str">
            <v>Kapasitas bak</v>
          </cell>
          <cell r="G427" t="str">
            <v>V</v>
          </cell>
          <cell r="H427">
            <v>6</v>
          </cell>
          <cell r="I427" t="str">
            <v>M3</v>
          </cell>
        </row>
        <row r="428">
          <cell r="A428" t="str">
            <v>II.</v>
          </cell>
          <cell r="C428" t="str">
            <v>Faktor Efisiensi alat</v>
          </cell>
          <cell r="G428" t="str">
            <v>Fa</v>
          </cell>
          <cell r="H428">
            <v>0.83</v>
          </cell>
          <cell r="I428" t="str">
            <v>-</v>
          </cell>
        </row>
        <row r="429">
          <cell r="A429">
            <v>1</v>
          </cell>
          <cell r="C429" t="str">
            <v>Kecepatan rata-rata bermuatan</v>
          </cell>
          <cell r="G429" t="str">
            <v>v1</v>
          </cell>
          <cell r="H429">
            <v>40</v>
          </cell>
          <cell r="I429" t="str">
            <v>KM / Jam</v>
          </cell>
        </row>
        <row r="430">
          <cell r="A430">
            <v>2</v>
          </cell>
          <cell r="C430" t="str">
            <v>Kecepatan rata-rata kosong</v>
          </cell>
          <cell r="G430" t="str">
            <v>v2</v>
          </cell>
          <cell r="H430">
            <v>50</v>
          </cell>
          <cell r="I430" t="str">
            <v>KM / Jam</v>
          </cell>
        </row>
        <row r="431">
          <cell r="C431" t="str">
            <v>menggunakan Wheel Loader (di Base Camp)</v>
          </cell>
        </row>
        <row r="432">
          <cell r="A432">
            <v>3</v>
          </cell>
          <cell r="C432" t="str">
            <v>Agregat Kasar ditebarkan (manual) sesuai tebal yang diperlukan dan</v>
          </cell>
        </row>
        <row r="433">
          <cell r="C433" t="str">
            <v>Waktu Siklus</v>
          </cell>
          <cell r="G433" t="str">
            <v>Ts2</v>
          </cell>
        </row>
        <row r="434">
          <cell r="A434">
            <v>4</v>
          </cell>
          <cell r="C434" t="str">
            <v xml:space="preserve">- Mengisi Bak </v>
          </cell>
          <cell r="G434" t="str">
            <v>T1</v>
          </cell>
          <cell r="H434">
            <v>0</v>
          </cell>
          <cell r="I434" t="str">
            <v>menit</v>
          </cell>
        </row>
        <row r="435">
          <cell r="C435" t="str">
            <v>- Angkut</v>
          </cell>
          <cell r="D435" t="str">
            <v>= (L : v1) x 60 menit</v>
          </cell>
          <cell r="G435" t="str">
            <v>T2</v>
          </cell>
          <cell r="H435">
            <v>1.5</v>
          </cell>
          <cell r="I435" t="str">
            <v>menit</v>
          </cell>
        </row>
        <row r="436">
          <cell r="A436">
            <v>5</v>
          </cell>
          <cell r="C436" t="str">
            <v>- Tunggu + dump + Putar</v>
          </cell>
          <cell r="G436" t="str">
            <v>T3</v>
          </cell>
          <cell r="H436">
            <v>15</v>
          </cell>
          <cell r="I436" t="str">
            <v>menit</v>
          </cell>
        </row>
        <row r="437">
          <cell r="A437" t="str">
            <v/>
          </cell>
          <cell r="C437" t="str">
            <v>- Kembali</v>
          </cell>
          <cell r="D437" t="str">
            <v>= (L : v2) x 60 menit</v>
          </cell>
          <cell r="G437" t="str">
            <v>T4</v>
          </cell>
          <cell r="H437">
            <v>1.2</v>
          </cell>
          <cell r="I437" t="str">
            <v>menit</v>
          </cell>
        </row>
        <row r="438">
          <cell r="G438" t="str">
            <v>Ts2</v>
          </cell>
          <cell r="H438">
            <v>17.7</v>
          </cell>
          <cell r="I438" t="str">
            <v>menit</v>
          </cell>
        </row>
        <row r="439">
          <cell r="A439" t="str">
            <v>III.</v>
          </cell>
          <cell r="C439" t="str">
            <v>PEMAKAIAN BAHAN, ALAT DAN TENAGA</v>
          </cell>
        </row>
        <row r="440">
          <cell r="A440" t="str">
            <v xml:space="preserve">   1.</v>
          </cell>
          <cell r="C440" t="str">
            <v>Kap.Prod. / jam =</v>
          </cell>
          <cell r="D440" t="str">
            <v>V x Fa x 60</v>
          </cell>
          <cell r="G440" t="str">
            <v>Q2</v>
          </cell>
          <cell r="H440">
            <v>16.881399999999999</v>
          </cell>
          <cell r="I440" t="str">
            <v>M3</v>
          </cell>
        </row>
        <row r="441">
          <cell r="A441" t="str">
            <v>1.a.</v>
          </cell>
          <cell r="C441" t="str">
            <v>Agregat Kasar</v>
          </cell>
          <cell r="D441" t="str">
            <v>Ts2</v>
          </cell>
          <cell r="G441" t="str">
            <v>(M03a)</v>
          </cell>
          <cell r="H441">
            <v>1.2833000000000001</v>
          </cell>
          <cell r="I441" t="str">
            <v>M3</v>
          </cell>
        </row>
        <row r="442">
          <cell r="A442" t="str">
            <v>1.b.</v>
          </cell>
          <cell r="C442" t="str">
            <v>Agregat Pengunci</v>
          </cell>
          <cell r="D442" t="str">
            <v>=  {(Ap1/1000 : t M3) x Fh1} : D1</v>
          </cell>
          <cell r="G442" t="str">
            <v>(M04a)</v>
          </cell>
          <cell r="H442">
            <v>0.30559999999999998</v>
          </cell>
          <cell r="I442" t="str">
            <v>M3</v>
          </cell>
        </row>
        <row r="443">
          <cell r="A443" t="str">
            <v>1.c.</v>
          </cell>
          <cell r="C443" t="str">
            <v xml:space="preserve">Koefisien Alat / M3 </v>
          </cell>
          <cell r="D443" t="str">
            <v>= 1 : Q2</v>
          </cell>
          <cell r="G443" t="str">
            <v>(E09)</v>
          </cell>
          <cell r="H443">
            <v>5.9200000000000003E-2</v>
          </cell>
          <cell r="I443" t="str">
            <v>Jam</v>
          </cell>
        </row>
        <row r="444">
          <cell r="A444" t="str">
            <v>1.d.</v>
          </cell>
          <cell r="C444" t="str">
            <v>Aspal</v>
          </cell>
          <cell r="D444" t="str">
            <v>=  {((As1+As2) : t M3) x Fh2}</v>
          </cell>
          <cell r="G444" t="str">
            <v>(M10)</v>
          </cell>
          <cell r="H444">
            <v>109.2</v>
          </cell>
          <cell r="I444" t="str">
            <v>Kg</v>
          </cell>
        </row>
        <row r="445">
          <cell r="A445" t="str">
            <v>2.c.</v>
          </cell>
          <cell r="C445" t="str">
            <v>THREE WHEEL ROLLER</v>
          </cell>
          <cell r="G445" t="str">
            <v>(E16)</v>
          </cell>
        </row>
        <row r="446">
          <cell r="A446" t="str">
            <v>2.</v>
          </cell>
          <cell r="C446" t="str">
            <v>Kecepatan rata-rata alat</v>
          </cell>
          <cell r="G446" t="str">
            <v>v</v>
          </cell>
          <cell r="H446">
            <v>2</v>
          </cell>
          <cell r="I446" t="str">
            <v>Km / Jam</v>
          </cell>
        </row>
        <row r="447">
          <cell r="A447" t="str">
            <v>2.a.</v>
          </cell>
          <cell r="C447" t="str">
            <v>Lebar efektif pemadatan</v>
          </cell>
          <cell r="G447" t="str">
            <v>b</v>
          </cell>
          <cell r="H447">
            <v>1.2</v>
          </cell>
          <cell r="I447" t="str">
            <v>M</v>
          </cell>
        </row>
        <row r="448">
          <cell r="C448" t="str">
            <v>Jumlah lintasan</v>
          </cell>
          <cell r="G448" t="str">
            <v>n</v>
          </cell>
          <cell r="H448">
            <v>8</v>
          </cell>
          <cell r="I448" t="str">
            <v>lintasan</v>
          </cell>
        </row>
        <row r="449">
          <cell r="C449" t="str">
            <v>Faktor Efisiensi alat</v>
          </cell>
          <cell r="G449" t="str">
            <v>Fa</v>
          </cell>
          <cell r="H449">
            <v>0.83</v>
          </cell>
          <cell r="I449" t="str">
            <v>-</v>
          </cell>
        </row>
        <row r="450">
          <cell r="C450" t="str">
            <v>Faktor efisiensi alat</v>
          </cell>
          <cell r="G450" t="str">
            <v>Fa</v>
          </cell>
          <cell r="H450">
            <v>0</v>
          </cell>
          <cell r="I450" t="str">
            <v>-</v>
          </cell>
        </row>
        <row r="451">
          <cell r="C451" t="str">
            <v xml:space="preserve">Kap. Prod. / jam = </v>
          </cell>
          <cell r="D451" t="str">
            <v>(v x 1000) x b x t x Fa</v>
          </cell>
          <cell r="G451" t="str">
            <v>Q3</v>
          </cell>
          <cell r="H451">
            <v>12.45</v>
          </cell>
          <cell r="I451" t="str">
            <v>M3</v>
          </cell>
        </row>
        <row r="452">
          <cell r="C452" t="str">
            <v>- Memuat, menuang, kembali</v>
          </cell>
          <cell r="D452" t="str">
            <v>n</v>
          </cell>
          <cell r="G452" t="str">
            <v>T1</v>
          </cell>
          <cell r="H452">
            <v>0</v>
          </cell>
          <cell r="I452" t="str">
            <v>menit</v>
          </cell>
        </row>
        <row r="453">
          <cell r="C453" t="str">
            <v>Koefisien Alat / M3</v>
          </cell>
          <cell r="D453" t="str">
            <v xml:space="preserve"> =  1  :  Q3</v>
          </cell>
          <cell r="G453" t="str">
            <v>(E16)</v>
          </cell>
          <cell r="H453">
            <v>8.0299999999999996E-2</v>
          </cell>
          <cell r="I453" t="str">
            <v>Jam</v>
          </cell>
        </row>
        <row r="454">
          <cell r="G454" t="str">
            <v>Ts1</v>
          </cell>
          <cell r="H454">
            <v>0</v>
          </cell>
          <cell r="I454" t="str">
            <v>menit</v>
          </cell>
        </row>
        <row r="455">
          <cell r="A455" t="str">
            <v>2.d.</v>
          </cell>
          <cell r="C455" t="str">
            <v>ASPHALT SPRAYER</v>
          </cell>
          <cell r="G455" t="str">
            <v>(E03)</v>
          </cell>
        </row>
        <row r="456">
          <cell r="C456" t="str">
            <v>Kapasitas alat</v>
          </cell>
          <cell r="G456" t="str">
            <v>V</v>
          </cell>
          <cell r="H456">
            <v>800</v>
          </cell>
          <cell r="I456" t="str">
            <v>liter</v>
          </cell>
          <cell r="J456" t="str">
            <v>Berlanjut ke halaman berikut</v>
          </cell>
        </row>
        <row r="457">
          <cell r="A457" t="str">
            <v>ITEM PEMBAYARAN NO.</v>
          </cell>
          <cell r="C457" t="str">
            <v>Faktor efisiensi alat</v>
          </cell>
          <cell r="D457" t="str">
            <v>:  6.6.1</v>
          </cell>
          <cell r="G457" t="str">
            <v>Fa</v>
          </cell>
          <cell r="H457">
            <v>0.83</v>
          </cell>
          <cell r="I457" t="str">
            <v>-</v>
          </cell>
          <cell r="J457" t="str">
            <v>Analisa EI-661</v>
          </cell>
        </row>
        <row r="458">
          <cell r="A458" t="str">
            <v>JENIS PEKERJAAN</v>
          </cell>
          <cell r="C458" t="str">
            <v>Waktu Siklus (termasuk proses pemanasan)</v>
          </cell>
          <cell r="D458" t="str">
            <v>:  Lapis Pen. Macadam Permukaan</v>
          </cell>
          <cell r="G458" t="str">
            <v>Ts3</v>
          </cell>
          <cell r="H458">
            <v>2</v>
          </cell>
          <cell r="I458" t="str">
            <v>Jam</v>
          </cell>
        </row>
        <row r="459">
          <cell r="A459" t="str">
            <v>SATUAN PEMBAYARAN</v>
          </cell>
          <cell r="D459" t="str">
            <v>:  M3</v>
          </cell>
          <cell r="H459" t="str">
            <v xml:space="preserve">         URAIAN ANALISA HARGA SATUAN</v>
          </cell>
        </row>
        <row r="460">
          <cell r="C460" t="str">
            <v>Kap. Prod. / jam =</v>
          </cell>
          <cell r="D460" t="str">
            <v>V x Fa x D2</v>
          </cell>
          <cell r="G460" t="str">
            <v>Q4</v>
          </cell>
          <cell r="H460">
            <v>3.2242000000000002</v>
          </cell>
          <cell r="I460" t="str">
            <v>M3</v>
          </cell>
          <cell r="J460" t="str">
            <v>Lanjutan</v>
          </cell>
        </row>
        <row r="461">
          <cell r="D461" t="str">
            <v>Ts3 x As2</v>
          </cell>
        </row>
        <row r="462">
          <cell r="A462" t="str">
            <v>No.</v>
          </cell>
          <cell r="C462" t="str">
            <v>Koefisien Alat / M3</v>
          </cell>
          <cell r="D462" t="str">
            <v xml:space="preserve"> =  1  :  Q4</v>
          </cell>
          <cell r="G462" t="str">
            <v>(E03)</v>
          </cell>
          <cell r="H462">
            <v>0.31019999999999998</v>
          </cell>
          <cell r="I462" t="str">
            <v>Jam</v>
          </cell>
          <cell r="J462" t="str">
            <v>KETERANGAN</v>
          </cell>
        </row>
        <row r="465">
          <cell r="C465" t="str">
            <v xml:space="preserve">Kap. Prod. / jam = </v>
          </cell>
          <cell r="D465" t="str">
            <v>V x Fb x Fa x 60</v>
          </cell>
          <cell r="G465" t="str">
            <v>Q1</v>
          </cell>
          <cell r="H465">
            <v>0</v>
          </cell>
          <cell r="I465" t="str">
            <v>M3</v>
          </cell>
          <cell r="J465" t="str">
            <v/>
          </cell>
        </row>
        <row r="466">
          <cell r="D466" t="str">
            <v>Ts1</v>
          </cell>
        </row>
        <row r="468">
          <cell r="C468" t="str">
            <v>Koefisien Alat/M3</v>
          </cell>
          <cell r="D468" t="str">
            <v xml:space="preserve"> = 1 : Q1</v>
          </cell>
          <cell r="G468" t="str">
            <v>(E15)</v>
          </cell>
          <cell r="H468">
            <v>0</v>
          </cell>
          <cell r="I468" t="str">
            <v>Jam</v>
          </cell>
        </row>
        <row r="469">
          <cell r="C469" t="str">
            <v/>
          </cell>
        </row>
        <row r="470">
          <cell r="A470" t="str">
            <v>2.b.</v>
          </cell>
          <cell r="C470" t="str">
            <v>DUMP TRUCK (DT)</v>
          </cell>
          <cell r="G470" t="str">
            <v>(E09)</v>
          </cell>
          <cell r="J470" t="str">
            <v>Berlanjut ke halaman berikut</v>
          </cell>
        </row>
        <row r="471">
          <cell r="A471" t="str">
            <v>ITEM PEMBAYARAN NO.</v>
          </cell>
          <cell r="C471" t="str">
            <v>Kapasitas bak</v>
          </cell>
          <cell r="D471" t="str">
            <v>:  8.1 (7)</v>
          </cell>
          <cell r="G471" t="str">
            <v>V</v>
          </cell>
          <cell r="H471">
            <v>6</v>
          </cell>
          <cell r="I471" t="str">
            <v>M3</v>
          </cell>
          <cell r="J471" t="str">
            <v>Analisa EI-817</v>
          </cell>
        </row>
        <row r="472">
          <cell r="A472" t="str">
            <v>JENIS PEKERJAAN</v>
          </cell>
          <cell r="C472" t="str">
            <v>Faktor Efisiensi alat</v>
          </cell>
          <cell r="D472" t="str">
            <v>:  Penetrasi Macadam Utk.Pek.Minor</v>
          </cell>
          <cell r="G472" t="str">
            <v>Fa</v>
          </cell>
          <cell r="H472">
            <v>0.83</v>
          </cell>
          <cell r="I472" t="str">
            <v>-</v>
          </cell>
        </row>
        <row r="473">
          <cell r="A473" t="str">
            <v>SATUAN PEMBAYARAN</v>
          </cell>
          <cell r="C473" t="str">
            <v>Kecepatan rata-rata bermuatan</v>
          </cell>
          <cell r="D473" t="str">
            <v>:  M3</v>
          </cell>
          <cell r="G473" t="str">
            <v>v1</v>
          </cell>
          <cell r="H473" t="str">
            <v xml:space="preserve">         URAIAN ANALISA HARGA SATUAN</v>
          </cell>
          <cell r="I473" t="str">
            <v>KM / Jam</v>
          </cell>
        </row>
        <row r="474">
          <cell r="C474" t="str">
            <v>Kecepatan rata-rata kosong</v>
          </cell>
          <cell r="G474" t="str">
            <v>v2</v>
          </cell>
          <cell r="H474">
            <v>50</v>
          </cell>
          <cell r="I474" t="str">
            <v>KM / Jam</v>
          </cell>
          <cell r="J474" t="str">
            <v>Lanjutan</v>
          </cell>
        </row>
        <row r="476">
          <cell r="A476" t="str">
            <v>No.</v>
          </cell>
          <cell r="C476" t="str">
            <v>U R A I A N</v>
          </cell>
          <cell r="G476" t="str">
            <v>KODE</v>
          </cell>
          <cell r="H476" t="str">
            <v>KOEF.</v>
          </cell>
          <cell r="I476" t="str">
            <v>SATUAN</v>
          </cell>
          <cell r="J476" t="str">
            <v>KETERANGAN</v>
          </cell>
        </row>
        <row r="477">
          <cell r="C477" t="str">
            <v>Waktu Siklus</v>
          </cell>
          <cell r="G477" t="str">
            <v>Ts2</v>
          </cell>
        </row>
        <row r="478">
          <cell r="C478" t="str">
            <v xml:space="preserve">- Mengisi Bak </v>
          </cell>
          <cell r="G478" t="str">
            <v>T1</v>
          </cell>
          <cell r="H478">
            <v>0</v>
          </cell>
          <cell r="I478" t="str">
            <v>menit</v>
          </cell>
        </row>
        <row r="479">
          <cell r="A479" t="str">
            <v>2.e.</v>
          </cell>
          <cell r="B479" t="str">
            <v/>
          </cell>
          <cell r="C479" t="str">
            <v>ALAT BANTU</v>
          </cell>
          <cell r="D479" t="str">
            <v>= (L : v1) x 60 menit</v>
          </cell>
          <cell r="G479" t="str">
            <v>T2</v>
          </cell>
          <cell r="H479">
            <v>1.5</v>
          </cell>
          <cell r="I479" t="str">
            <v>menit</v>
          </cell>
        </row>
        <row r="480">
          <cell r="C480" t="str">
            <v>diperlukan setiap  :</v>
          </cell>
          <cell r="D480">
            <v>75</v>
          </cell>
          <cell r="E480" t="str">
            <v>M3 pekerjaan</v>
          </cell>
          <cell r="G480" t="str">
            <v>T3</v>
          </cell>
          <cell r="H480">
            <v>10</v>
          </cell>
          <cell r="I480" t="str">
            <v>menit</v>
          </cell>
          <cell r="J480" t="str">
            <v>Lump Sum</v>
          </cell>
        </row>
        <row r="481">
          <cell r="C481" t="str">
            <v>- Kereta dorong</v>
          </cell>
          <cell r="D481" t="str">
            <v>=  3  buah</v>
          </cell>
          <cell r="G481" t="str">
            <v>T4</v>
          </cell>
          <cell r="H481">
            <v>1.2</v>
          </cell>
          <cell r="I481" t="str">
            <v>menit</v>
          </cell>
        </row>
        <row r="482">
          <cell r="C482" t="str">
            <v>- Sekop</v>
          </cell>
          <cell r="D482" t="str">
            <v>=  5  buah</v>
          </cell>
          <cell r="G482" t="str">
            <v>Ts2</v>
          </cell>
          <cell r="H482">
            <v>12.7</v>
          </cell>
          <cell r="I482" t="str">
            <v>menit</v>
          </cell>
        </row>
        <row r="483">
          <cell r="C483" t="str">
            <v>- Sapu</v>
          </cell>
          <cell r="D483" t="str">
            <v>=  5  buah</v>
          </cell>
        </row>
        <row r="484">
          <cell r="C484" t="str">
            <v>- Sikat</v>
          </cell>
          <cell r="D484" t="str">
            <v>=  3  buah</v>
          </cell>
          <cell r="G484" t="str">
            <v>Q2</v>
          </cell>
          <cell r="H484">
            <v>23.5276</v>
          </cell>
          <cell r="I484" t="str">
            <v>M3</v>
          </cell>
        </row>
        <row r="485">
          <cell r="C485" t="str">
            <v>- Karung</v>
          </cell>
          <cell r="D485" t="str">
            <v>=  5  buah</v>
          </cell>
        </row>
        <row r="486">
          <cell r="C486" t="str">
            <v>- Cerek Aspal</v>
          </cell>
          <cell r="D486" t="str">
            <v>=  3  buah</v>
          </cell>
        </row>
        <row r="487">
          <cell r="C487" t="str">
            <v>- Kaleng Aspal</v>
          </cell>
          <cell r="D487" t="str">
            <v>=  3  buah</v>
          </cell>
          <cell r="G487" t="str">
            <v>(E09)</v>
          </cell>
          <cell r="H487">
            <v>4.2500000000000003E-2</v>
          </cell>
          <cell r="I487" t="str">
            <v>Jam</v>
          </cell>
        </row>
        <row r="489">
          <cell r="A489" t="str">
            <v xml:space="preserve">   3.</v>
          </cell>
          <cell r="C489" t="str">
            <v>TENAGA</v>
          </cell>
          <cell r="G489" t="str">
            <v>(E16)</v>
          </cell>
        </row>
        <row r="490">
          <cell r="C490" t="str">
            <v>Produksi menentukan (Produksi Three Wheel Roller)</v>
          </cell>
          <cell r="G490" t="str">
            <v>Q1</v>
          </cell>
          <cell r="H490">
            <v>12.45</v>
          </cell>
          <cell r="I490" t="str">
            <v>M3/Jam</v>
          </cell>
        </row>
        <row r="491">
          <cell r="C491" t="str">
            <v>Produksi Lapen / hari   =   Q1 x Tk</v>
          </cell>
          <cell r="G491" t="str">
            <v>Qt</v>
          </cell>
          <cell r="H491">
            <v>87.15</v>
          </cell>
          <cell r="I491" t="str">
            <v>M3</v>
          </cell>
        </row>
        <row r="492">
          <cell r="C492" t="str">
            <v>Kebutuhan tenaga :</v>
          </cell>
          <cell r="G492" t="str">
            <v>n</v>
          </cell>
          <cell r="H492">
            <v>8</v>
          </cell>
          <cell r="I492" t="str">
            <v>lintasan</v>
          </cell>
          <cell r="J492" t="str">
            <v/>
          </cell>
        </row>
        <row r="493">
          <cell r="C493" t="str">
            <v>Faktor Efisiensi alat</v>
          </cell>
          <cell r="D493" t="str">
            <v>- Pekerja</v>
          </cell>
          <cell r="G493" t="str">
            <v>P</v>
          </cell>
          <cell r="H493">
            <v>90</v>
          </cell>
          <cell r="I493" t="str">
            <v>orang</v>
          </cell>
        </row>
        <row r="494">
          <cell r="D494" t="str">
            <v>- Mandor</v>
          </cell>
          <cell r="G494" t="str">
            <v>M</v>
          </cell>
          <cell r="H494">
            <v>2</v>
          </cell>
          <cell r="I494" t="str">
            <v>orang</v>
          </cell>
        </row>
        <row r="495">
          <cell r="C495" t="str">
            <v xml:space="preserve">Kap. Prod. / jam = </v>
          </cell>
          <cell r="D495" t="str">
            <v>(v x 1000) x b x t x Fa</v>
          </cell>
          <cell r="G495" t="str">
            <v>Q3</v>
          </cell>
          <cell r="H495">
            <v>21.787500000000001</v>
          </cell>
          <cell r="I495" t="str">
            <v>M3</v>
          </cell>
        </row>
        <row r="496">
          <cell r="C496" t="str">
            <v>Koefisien Tenaga / M3     :</v>
          </cell>
          <cell r="D496" t="str">
            <v>n</v>
          </cell>
        </row>
        <row r="497">
          <cell r="C497" t="str">
            <v>Koefisien Alat / M3</v>
          </cell>
          <cell r="D497" t="str">
            <v>- Pekerja</v>
          </cell>
          <cell r="E497" t="str">
            <v>= (Tk x P) / Qt</v>
          </cell>
          <cell r="G497" t="str">
            <v>(L01)</v>
          </cell>
          <cell r="H497">
            <v>7.2289000000000003</v>
          </cell>
          <cell r="I497" t="str">
            <v>Jam</v>
          </cell>
        </row>
        <row r="498">
          <cell r="D498" t="str">
            <v>- Mandor</v>
          </cell>
          <cell r="E498" t="str">
            <v>= (Tk x M) / Qt</v>
          </cell>
          <cell r="G498" t="str">
            <v>(L03)</v>
          </cell>
          <cell r="H498">
            <v>0.16059999999999999</v>
          </cell>
          <cell r="I498" t="str">
            <v>Jam</v>
          </cell>
        </row>
        <row r="499">
          <cell r="A499" t="str">
            <v>2.d.</v>
          </cell>
          <cell r="C499" t="str">
            <v>ASPHALT SPRAYER</v>
          </cell>
          <cell r="G499" t="str">
            <v>(E03)</v>
          </cell>
        </row>
        <row r="500">
          <cell r="C500" t="str">
            <v>Kapasitas alat</v>
          </cell>
          <cell r="G500" t="str">
            <v>V</v>
          </cell>
          <cell r="H500">
            <v>800</v>
          </cell>
          <cell r="I500" t="str">
            <v>liter</v>
          </cell>
        </row>
        <row r="501">
          <cell r="A501" t="str">
            <v>4.</v>
          </cell>
          <cell r="C501" t="str">
            <v>HARGA DASAR SATUAN UPAH, BAHAN DAN ALAT</v>
          </cell>
          <cell r="G501" t="str">
            <v>Fa</v>
          </cell>
          <cell r="H501">
            <v>0.83</v>
          </cell>
          <cell r="I501" t="str">
            <v>-</v>
          </cell>
        </row>
        <row r="502">
          <cell r="C502" t="str">
            <v>Lihat lampiran.</v>
          </cell>
          <cell r="G502" t="str">
            <v>Ts3</v>
          </cell>
          <cell r="H502">
            <v>2</v>
          </cell>
          <cell r="I502" t="str">
            <v>Jam</v>
          </cell>
        </row>
        <row r="504">
          <cell r="A504" t="str">
            <v>5.</v>
          </cell>
          <cell r="C504" t="str">
            <v>ANALISA HARGA SATUAN PEKERJAAN</v>
          </cell>
          <cell r="D504" t="str">
            <v>V x Fa x D2</v>
          </cell>
          <cell r="G504" t="str">
            <v>Q4</v>
          </cell>
          <cell r="H504">
            <v>3.2242000000000002</v>
          </cell>
          <cell r="I504" t="str">
            <v>M3</v>
          </cell>
        </row>
        <row r="505">
          <cell r="C505" t="str">
            <v>Lihat perhitungan dalam FORMULIR STANDAR UNTUK</v>
          </cell>
          <cell r="D505" t="str">
            <v>Ts3 x (As)</v>
          </cell>
        </row>
        <row r="506">
          <cell r="C506" t="str">
            <v>PEREKEMAN ANALISA MASING-MASING HARGA</v>
          </cell>
          <cell r="D506" t="str">
            <v xml:space="preserve"> =  1  :  Q4</v>
          </cell>
          <cell r="G506" t="str">
            <v>(E03)</v>
          </cell>
          <cell r="H506">
            <v>0.31019999999999998</v>
          </cell>
          <cell r="I506" t="str">
            <v>Jam</v>
          </cell>
        </row>
        <row r="507">
          <cell r="C507" t="str">
            <v>SATUAN.</v>
          </cell>
        </row>
        <row r="508">
          <cell r="C508" t="str">
            <v>Didapat Harga Satuan Pekerjaan :</v>
          </cell>
        </row>
        <row r="510">
          <cell r="C510" t="str">
            <v xml:space="preserve">Rp.  </v>
          </cell>
          <cell r="D510">
            <v>680866.65999999992</v>
          </cell>
          <cell r="E510" t="str">
            <v xml:space="preserve"> / M3.</v>
          </cell>
        </row>
        <row r="512">
          <cell r="C512" t="str">
            <v/>
          </cell>
        </row>
        <row r="513">
          <cell r="J513" t="str">
            <v>Berlanjut ke halaman berikut</v>
          </cell>
        </row>
        <row r="514">
          <cell r="A514" t="str">
            <v>ITEM PEMBAYARAN NO.</v>
          </cell>
          <cell r="D514" t="str">
            <v>:  6.6.1</v>
          </cell>
          <cell r="J514" t="str">
            <v>Analisa EI-661</v>
          </cell>
        </row>
        <row r="515">
          <cell r="A515" t="str">
            <v>JENIS PEKERJAAN</v>
          </cell>
          <cell r="D515" t="str">
            <v>:  Lapis Pen. Macadam Permukaan</v>
          </cell>
        </row>
        <row r="516">
          <cell r="A516" t="str">
            <v>SATUAN PEMBAYARAN</v>
          </cell>
          <cell r="D516" t="str">
            <v>:  M3</v>
          </cell>
          <cell r="H516" t="str">
            <v xml:space="preserve">         URAIAN ANALISA HARGA SATUAN</v>
          </cell>
        </row>
        <row r="517">
          <cell r="J517" t="str">
            <v>Lanjutan</v>
          </cell>
        </row>
        <row r="519">
          <cell r="A519" t="str">
            <v>No.</v>
          </cell>
          <cell r="C519" t="str">
            <v>U R A I A N</v>
          </cell>
          <cell r="G519" t="str">
            <v>KODE</v>
          </cell>
          <cell r="H519" t="str">
            <v>KOEF.</v>
          </cell>
          <cell r="I519" t="str">
            <v>SATUAN</v>
          </cell>
          <cell r="J519" t="str">
            <v>KETERANGAN</v>
          </cell>
        </row>
        <row r="522">
          <cell r="A522" t="str">
            <v>2.e.</v>
          </cell>
          <cell r="B522" t="str">
            <v/>
          </cell>
          <cell r="C522" t="str">
            <v>ALAT BANTU</v>
          </cell>
        </row>
        <row r="523">
          <cell r="C523" t="str">
            <v>diperlukan setiap  :</v>
          </cell>
          <cell r="D523">
            <v>75</v>
          </cell>
          <cell r="E523" t="str">
            <v>M3 pekerjaan</v>
          </cell>
          <cell r="J523" t="str">
            <v>Lump Sum</v>
          </cell>
        </row>
        <row r="524">
          <cell r="C524" t="str">
            <v>- Kereta dorong</v>
          </cell>
          <cell r="D524" t="str">
            <v>=  3  buah</v>
          </cell>
        </row>
        <row r="525">
          <cell r="C525" t="str">
            <v>- Sekop</v>
          </cell>
          <cell r="D525" t="str">
            <v>=  5  buah</v>
          </cell>
        </row>
        <row r="526">
          <cell r="C526" t="str">
            <v>- Sapu</v>
          </cell>
          <cell r="D526" t="str">
            <v>=  5  buah</v>
          </cell>
        </row>
        <row r="527">
          <cell r="C527" t="str">
            <v>- Sikat</v>
          </cell>
          <cell r="D527" t="str">
            <v>=  3  buah</v>
          </cell>
        </row>
        <row r="528">
          <cell r="C528" t="str">
            <v>- Karung</v>
          </cell>
          <cell r="D528" t="str">
            <v>=  5  buah</v>
          </cell>
        </row>
        <row r="529">
          <cell r="A529" t="str">
            <v>ITEM PEMBAYARAN NO.</v>
          </cell>
          <cell r="C529" t="str">
            <v>- Cerek Aspal</v>
          </cell>
          <cell r="D529" t="str">
            <v>:  8.2(1)</v>
          </cell>
          <cell r="J529" t="str">
            <v>Analisa EI-8.21</v>
          </cell>
        </row>
        <row r="530">
          <cell r="A530" t="str">
            <v>JENIS PEKERJAAN</v>
          </cell>
          <cell r="C530" t="str">
            <v>- Kaleng Aspal</v>
          </cell>
          <cell r="D530" t="str">
            <v>:  Galian Utk.Bahu &amp; Pek. Lainnya ,Rutin</v>
          </cell>
        </row>
        <row r="531">
          <cell r="A531" t="str">
            <v>SATUAN PEMBAYARAN</v>
          </cell>
          <cell r="D531" t="str">
            <v>:  M3</v>
          </cell>
          <cell r="H531" t="str">
            <v xml:space="preserve">         URAIAN ANALISA HARGA SATUAN</v>
          </cell>
        </row>
        <row r="532">
          <cell r="A532" t="str">
            <v xml:space="preserve">   3.</v>
          </cell>
          <cell r="C532" t="str">
            <v>TENAGA</v>
          </cell>
        </row>
        <row r="533">
          <cell r="C533" t="str">
            <v>Produksi menentukan (Produksi Thrre Wheel Roller)</v>
          </cell>
          <cell r="G533" t="str">
            <v>Q1</v>
          </cell>
          <cell r="H533">
            <v>21.787500000000001</v>
          </cell>
          <cell r="I533" t="str">
            <v>M3/Jam</v>
          </cell>
        </row>
        <row r="534">
          <cell r="A534" t="str">
            <v>No.</v>
          </cell>
          <cell r="C534" t="str">
            <v>U R A I A N</v>
          </cell>
          <cell r="G534" t="str">
            <v>KODE</v>
          </cell>
          <cell r="H534" t="str">
            <v>KOEF.</v>
          </cell>
          <cell r="I534" t="str">
            <v>SATUAN</v>
          </cell>
          <cell r="J534" t="str">
            <v>KETERANGAN</v>
          </cell>
        </row>
        <row r="535">
          <cell r="C535" t="str">
            <v>Kebutuhan tenaga :</v>
          </cell>
        </row>
        <row r="536">
          <cell r="D536" t="str">
            <v>- Pekerja</v>
          </cell>
          <cell r="G536" t="str">
            <v>P</v>
          </cell>
          <cell r="H536">
            <v>100</v>
          </cell>
          <cell r="I536" t="str">
            <v>orang</v>
          </cell>
        </row>
        <row r="537">
          <cell r="A537" t="str">
            <v>I.</v>
          </cell>
          <cell r="C537" t="str">
            <v>ASUMSI</v>
          </cell>
          <cell r="D537" t="str">
            <v>- Mandor</v>
          </cell>
          <cell r="G537" t="str">
            <v>M</v>
          </cell>
          <cell r="H537">
            <v>3</v>
          </cell>
          <cell r="I537" t="str">
            <v>orang</v>
          </cell>
        </row>
        <row r="538">
          <cell r="A538">
            <v>1</v>
          </cell>
          <cell r="C538" t="str">
            <v>Menggunakan alat berat (cara mekanik)</v>
          </cell>
        </row>
        <row r="539">
          <cell r="A539">
            <v>2</v>
          </cell>
          <cell r="C539" t="str">
            <v>Lokasi pekerjaan : sepanjang jalan</v>
          </cell>
        </row>
        <row r="540">
          <cell r="A540">
            <v>3</v>
          </cell>
          <cell r="C540" t="str">
            <v>Kondisi Jalan   :  sedang / baik</v>
          </cell>
          <cell r="D540" t="str">
            <v>- Pekerja</v>
          </cell>
          <cell r="E540" t="str">
            <v>= (Tk x P) / Qt</v>
          </cell>
          <cell r="G540" t="str">
            <v>(L01)</v>
          </cell>
          <cell r="H540">
            <v>4.5898000000000003</v>
          </cell>
          <cell r="I540" t="str">
            <v>Jam</v>
          </cell>
        </row>
        <row r="541">
          <cell r="A541">
            <v>4</v>
          </cell>
          <cell r="C541" t="str">
            <v>Jam kerja efektif per-hari</v>
          </cell>
          <cell r="D541" t="str">
            <v>- Mandor</v>
          </cell>
          <cell r="E541" t="str">
            <v>= (Tk x M) / Qt</v>
          </cell>
          <cell r="G541" t="str">
            <v>Tk</v>
          </cell>
          <cell r="H541">
            <v>7</v>
          </cell>
          <cell r="I541" t="str">
            <v>Jam</v>
          </cell>
        </row>
        <row r="542">
          <cell r="A542">
            <v>5</v>
          </cell>
          <cell r="C542" t="str">
            <v>Faktor pengembangan bahan</v>
          </cell>
          <cell r="G542" t="str">
            <v>Fk</v>
          </cell>
          <cell r="H542">
            <v>1.2</v>
          </cell>
          <cell r="I542" t="str">
            <v>-</v>
          </cell>
        </row>
        <row r="544">
          <cell r="A544" t="str">
            <v>4.</v>
          </cell>
          <cell r="C544" t="str">
            <v>HARGA DASAR SATUAN UPAH, BAHAN DAN ALAT</v>
          </cell>
        </row>
        <row r="545">
          <cell r="A545" t="str">
            <v>II.</v>
          </cell>
          <cell r="C545" t="str">
            <v>URUTAN KERJA</v>
          </cell>
        </row>
        <row r="546">
          <cell r="A546">
            <v>1</v>
          </cell>
          <cell r="C546" t="str">
            <v>Tanah yang dipotong umumnya berada disisi jalan</v>
          </cell>
        </row>
        <row r="547">
          <cell r="A547">
            <v>2</v>
          </cell>
          <cell r="C547" t="str">
            <v>Penggalian dilakukan dengan menggunakan pekerja</v>
          </cell>
        </row>
        <row r="548">
          <cell r="A548">
            <v>3</v>
          </cell>
          <cell r="C548" t="str">
            <v>Selanjutnya pekerja memuat material hasil</v>
          </cell>
        </row>
        <row r="549">
          <cell r="C549" t="str">
            <v>galian kedalam Dump Truck</v>
          </cell>
        </row>
        <row r="550">
          <cell r="A550">
            <v>4</v>
          </cell>
          <cell r="C550" t="str">
            <v>Dump Truck membuang material hasil galian keluar</v>
          </cell>
        </row>
        <row r="551">
          <cell r="C551" t="str">
            <v>lokasi jalan sejauh</v>
          </cell>
          <cell r="G551" t="str">
            <v>L</v>
          </cell>
          <cell r="H551">
            <v>1</v>
          </cell>
          <cell r="I551" t="str">
            <v>Km</v>
          </cell>
        </row>
        <row r="553">
          <cell r="C553" t="str">
            <v xml:space="preserve">Rp.  </v>
          </cell>
          <cell r="D553">
            <v>668977.63984267134</v>
          </cell>
          <cell r="E553" t="str">
            <v xml:space="preserve"> / M3.</v>
          </cell>
        </row>
        <row r="554">
          <cell r="A554" t="str">
            <v>III.</v>
          </cell>
          <cell r="C554" t="str">
            <v>PEMAKAIAN BAHAN, ALAT DAN TENAGA</v>
          </cell>
        </row>
        <row r="556">
          <cell r="A556" t="str">
            <v xml:space="preserve">   1.</v>
          </cell>
          <cell r="C556" t="str">
            <v>BAHAN</v>
          </cell>
        </row>
        <row r="557">
          <cell r="C557" t="str">
            <v>Tidak ada bahan yang diperlukan</v>
          </cell>
        </row>
        <row r="559">
          <cell r="A559" t="str">
            <v xml:space="preserve">   2.</v>
          </cell>
          <cell r="C559" t="str">
            <v>ALAT</v>
          </cell>
        </row>
        <row r="560">
          <cell r="A560" t="str">
            <v xml:space="preserve">   2.a.</v>
          </cell>
          <cell r="C560" t="str">
            <v>EXCAVATOR</v>
          </cell>
          <cell r="G560" t="str">
            <v>(E10)</v>
          </cell>
        </row>
        <row r="561">
          <cell r="C561" t="str">
            <v>Kapasitas Bucket</v>
          </cell>
          <cell r="G561" t="str">
            <v>V</v>
          </cell>
          <cell r="H561">
            <v>0.5</v>
          </cell>
          <cell r="I561" t="str">
            <v>M3</v>
          </cell>
        </row>
        <row r="562">
          <cell r="C562" t="str">
            <v>Faktor Bucket</v>
          </cell>
          <cell r="G562" t="str">
            <v>Fb</v>
          </cell>
          <cell r="H562">
            <v>0.9</v>
          </cell>
          <cell r="I562" t="str">
            <v>-</v>
          </cell>
        </row>
        <row r="563">
          <cell r="C563" t="str">
            <v>Faktor  Efisiensi alat</v>
          </cell>
          <cell r="G563" t="str">
            <v>Fa</v>
          </cell>
          <cell r="H563">
            <v>0.83</v>
          </cell>
          <cell r="I563" t="str">
            <v>-</v>
          </cell>
        </row>
        <row r="564">
          <cell r="C564" t="str">
            <v>Faktor  material</v>
          </cell>
          <cell r="G564" t="str">
            <v>Fm</v>
          </cell>
          <cell r="H564" t="str">
            <v xml:space="preserve">  -  </v>
          </cell>
          <cell r="I564" t="str">
            <v>-</v>
          </cell>
        </row>
        <row r="565">
          <cell r="C565" t="str">
            <v>Waktu siklus</v>
          </cell>
          <cell r="G565" t="str">
            <v>Ts1</v>
          </cell>
          <cell r="I565" t="str">
            <v>menit</v>
          </cell>
        </row>
        <row r="566">
          <cell r="C566" t="str">
            <v>- Menggali / memuat</v>
          </cell>
          <cell r="G566" t="str">
            <v>T1</v>
          </cell>
          <cell r="H566">
            <v>0.35</v>
          </cell>
          <cell r="I566" t="str">
            <v>menit</v>
          </cell>
        </row>
        <row r="567">
          <cell r="C567" t="str">
            <v>- Lain-lain</v>
          </cell>
          <cell r="G567" t="str">
            <v>T2</v>
          </cell>
          <cell r="H567">
            <v>0.35</v>
          </cell>
          <cell r="I567" t="str">
            <v>menit</v>
          </cell>
        </row>
        <row r="568">
          <cell r="G568" t="str">
            <v>Ts1</v>
          </cell>
          <cell r="H568">
            <v>0.7</v>
          </cell>
          <cell r="I568" t="str">
            <v>menit</v>
          </cell>
        </row>
        <row r="570">
          <cell r="C570" t="str">
            <v>Kap. Prod. / jam =</v>
          </cell>
          <cell r="D570" t="str">
            <v>V  x Fb x Fa x Fm x 60</v>
          </cell>
          <cell r="G570" t="str">
            <v>Q1</v>
          </cell>
          <cell r="H570">
            <v>26.678599999999999</v>
          </cell>
          <cell r="I570" t="str">
            <v>M3  / jam</v>
          </cell>
        </row>
        <row r="571">
          <cell r="A571" t="str">
            <v>ITEM PEMBAYARAN NO.</v>
          </cell>
          <cell r="D571" t="str">
            <v>Ts x Fk</v>
          </cell>
          <cell r="J571" t="str">
            <v>Analisa EI-662</v>
          </cell>
        </row>
        <row r="572">
          <cell r="A572" t="str">
            <v>JENIS PEKERJAAN</v>
          </cell>
          <cell r="D572" t="str">
            <v>:  Lapis Pen. Macadam Perata</v>
          </cell>
        </row>
        <row r="573">
          <cell r="A573" t="str">
            <v>SATUAN PEMBAYARAN</v>
          </cell>
          <cell r="C573" t="str">
            <v>Koefisien Alat / M3</v>
          </cell>
          <cell r="D573" t="str">
            <v xml:space="preserve"> =  1  :  Q1</v>
          </cell>
          <cell r="G573" t="str">
            <v>(E10)</v>
          </cell>
          <cell r="H573">
            <v>3.7499999999999999E-2</v>
          </cell>
          <cell r="I573" t="str">
            <v>Jam</v>
          </cell>
        </row>
        <row r="575">
          <cell r="A575" t="str">
            <v xml:space="preserve">   2.b.</v>
          </cell>
          <cell r="C575" t="str">
            <v>DUMP TRUCK</v>
          </cell>
          <cell r="G575" t="str">
            <v>(E08)</v>
          </cell>
        </row>
        <row r="576">
          <cell r="A576" t="str">
            <v>No.</v>
          </cell>
          <cell r="C576" t="str">
            <v>Kaasitas bak</v>
          </cell>
          <cell r="G576" t="str">
            <v>V</v>
          </cell>
          <cell r="H576">
            <v>4</v>
          </cell>
          <cell r="I576" t="str">
            <v>M3</v>
          </cell>
          <cell r="J576" t="str">
            <v>KETERANGAN</v>
          </cell>
        </row>
        <row r="577">
          <cell r="C577" t="str">
            <v>Faktor  efisiensi alat</v>
          </cell>
          <cell r="G577" t="str">
            <v>Fa</v>
          </cell>
          <cell r="H577">
            <v>0.83</v>
          </cell>
        </row>
        <row r="578">
          <cell r="C578" t="str">
            <v>Kecepatan rata-rata bermuatan</v>
          </cell>
          <cell r="G578" t="str">
            <v>v1</v>
          </cell>
          <cell r="H578">
            <v>40</v>
          </cell>
          <cell r="I578" t="str">
            <v>Km/Jam</v>
          </cell>
        </row>
        <row r="579">
          <cell r="A579" t="str">
            <v>I.</v>
          </cell>
          <cell r="C579" t="str">
            <v>Kecepatan rata-rata kosong</v>
          </cell>
          <cell r="G579" t="str">
            <v>v2</v>
          </cell>
          <cell r="H579">
            <v>60</v>
          </cell>
          <cell r="I579" t="str">
            <v>Km/Jam</v>
          </cell>
        </row>
        <row r="580">
          <cell r="A580">
            <v>1</v>
          </cell>
          <cell r="C580" t="str">
            <v>Waktu  siklus</v>
          </cell>
          <cell r="G580" t="str">
            <v>Ts2</v>
          </cell>
          <cell r="I580" t="str">
            <v>menit</v>
          </cell>
        </row>
        <row r="581">
          <cell r="A581">
            <v>2</v>
          </cell>
          <cell r="C581" t="str">
            <v>- Waktu tempuh isi</v>
          </cell>
          <cell r="E581" t="str">
            <v>=   (L  :  v1)  x  60</v>
          </cell>
          <cell r="G581" t="str">
            <v>T1</v>
          </cell>
          <cell r="H581">
            <v>1.5</v>
          </cell>
          <cell r="I581" t="str">
            <v>menit</v>
          </cell>
        </row>
        <row r="582">
          <cell r="A582">
            <v>3</v>
          </cell>
          <cell r="C582" t="str">
            <v>- Waktu tempuh kosong</v>
          </cell>
          <cell r="E582" t="str">
            <v>=   (L  :  v2)  x  60</v>
          </cell>
          <cell r="G582" t="str">
            <v>T2</v>
          </cell>
          <cell r="H582">
            <v>1</v>
          </cell>
          <cell r="I582" t="str">
            <v>menit</v>
          </cell>
        </row>
        <row r="583">
          <cell r="A583">
            <v>4</v>
          </cell>
          <cell r="C583" t="str">
            <v>- Muat</v>
          </cell>
          <cell r="E583" t="str">
            <v>=   (v  : Q1)  x  60</v>
          </cell>
          <cell r="G583" t="str">
            <v>T3</v>
          </cell>
          <cell r="H583">
            <v>8.9960000000000004</v>
          </cell>
          <cell r="I583" t="str">
            <v>menit</v>
          </cell>
        </row>
        <row r="584">
          <cell r="A584">
            <v>5</v>
          </cell>
          <cell r="C584" t="str">
            <v>- Lain-lain</v>
          </cell>
          <cell r="G584" t="str">
            <v>T4</v>
          </cell>
          <cell r="H584">
            <v>0.5</v>
          </cell>
          <cell r="I584" t="str">
            <v>menit</v>
          </cell>
        </row>
        <row r="585">
          <cell r="A585">
            <v>6</v>
          </cell>
          <cell r="C585" t="str">
            <v>Jam kerja efektif per-hari</v>
          </cell>
          <cell r="G585" t="str">
            <v>Ts2</v>
          </cell>
          <cell r="H585">
            <v>11.996</v>
          </cell>
          <cell r="I585" t="str">
            <v>menit</v>
          </cell>
        </row>
        <row r="586">
          <cell r="A586">
            <v>7</v>
          </cell>
          <cell r="C586" t="str">
            <v>Faktor kehilanganmaterial :</v>
          </cell>
          <cell r="E586" t="str">
            <v>- Agregat</v>
          </cell>
          <cell r="G586" t="str">
            <v>Fh1</v>
          </cell>
          <cell r="H586">
            <v>1.1000000000000001</v>
          </cell>
          <cell r="I586" t="str">
            <v>-</v>
          </cell>
          <cell r="J586" t="str">
            <v>Berlanjut ke halaman berikut</v>
          </cell>
        </row>
        <row r="587">
          <cell r="A587" t="str">
            <v>ITEM PEMBAYARAN NO.</v>
          </cell>
          <cell r="D587" t="str">
            <v>:  8.2(1)</v>
          </cell>
          <cell r="E587" t="str">
            <v>- Aspal</v>
          </cell>
          <cell r="G587" t="str">
            <v>Fh2</v>
          </cell>
          <cell r="H587">
            <v>1.05</v>
          </cell>
          <cell r="I587" t="str">
            <v>-</v>
          </cell>
          <cell r="J587" t="str">
            <v>Analisa EI-8.21</v>
          </cell>
        </row>
        <row r="588">
          <cell r="A588" t="str">
            <v>JENIS PEKERJAAN</v>
          </cell>
          <cell r="C588" t="str">
            <v>Komposisi campuran Lapen (spesifikasi)  :</v>
          </cell>
          <cell r="D588" t="str">
            <v>:  Galian Utk.Bahu &amp; Pek. Lainnya ,Rutin</v>
          </cell>
        </row>
        <row r="589">
          <cell r="A589" t="str">
            <v>SATUAN PEMBAYARAN</v>
          </cell>
          <cell r="C589" t="str">
            <v>- Agregat Pokok</v>
          </cell>
          <cell r="D589" t="str">
            <v>:  M3</v>
          </cell>
          <cell r="G589" t="str">
            <v>Ak</v>
          </cell>
          <cell r="H589" t="str">
            <v xml:space="preserve">         URAIAN ANALISA HARGA SATUAN</v>
          </cell>
          <cell r="I589" t="str">
            <v>Kg/M2</v>
          </cell>
          <cell r="J589" t="str">
            <v xml:space="preserve"> Tabel 6.6.4.</v>
          </cell>
        </row>
        <row r="590">
          <cell r="C590" t="str">
            <v>- Agregat Pengunci</v>
          </cell>
          <cell r="G590" t="str">
            <v>Ap1</v>
          </cell>
          <cell r="H590">
            <v>25</v>
          </cell>
          <cell r="I590" t="str">
            <v>Kg/M2</v>
          </cell>
          <cell r="J590" t="str">
            <v>Lanjutan</v>
          </cell>
        </row>
        <row r="592">
          <cell r="A592" t="str">
            <v>No.</v>
          </cell>
          <cell r="C592" t="str">
            <v>U R A I A N</v>
          </cell>
          <cell r="D592" t="str">
            <v>- Paska Agregat Pokok</v>
          </cell>
          <cell r="G592" t="str">
            <v>KODE</v>
          </cell>
          <cell r="H592" t="str">
            <v>KOEF.</v>
          </cell>
          <cell r="I592" t="str">
            <v>SATUAN</v>
          </cell>
          <cell r="J592" t="str">
            <v>KETERANGAN</v>
          </cell>
        </row>
        <row r="593">
          <cell r="G593" t="str">
            <v>As</v>
          </cell>
          <cell r="H593">
            <v>110</v>
          </cell>
          <cell r="I593" t="str">
            <v>Kg/M3</v>
          </cell>
        </row>
        <row r="595">
          <cell r="A595">
            <v>9</v>
          </cell>
          <cell r="C595" t="str">
            <v>Kapasitas Produksi / Jam   =</v>
          </cell>
          <cell r="E595" t="str">
            <v>V x Fa x 60</v>
          </cell>
          <cell r="G595" t="str">
            <v>Q2</v>
          </cell>
          <cell r="H595">
            <v>13.837899999999999</v>
          </cell>
          <cell r="I595" t="str">
            <v xml:space="preserve">M3 / Jam </v>
          </cell>
        </row>
        <row r="596">
          <cell r="C596" t="str">
            <v>- Agregat</v>
          </cell>
          <cell r="E596" t="str">
            <v xml:space="preserve">    Fk x Ts</v>
          </cell>
          <cell r="G596" t="str">
            <v>D1</v>
          </cell>
          <cell r="H596">
            <v>2</v>
          </cell>
          <cell r="I596" t="str">
            <v>ton / M3</v>
          </cell>
        </row>
        <row r="597">
          <cell r="C597" t="str">
            <v>- Aspal</v>
          </cell>
          <cell r="G597" t="str">
            <v>D2</v>
          </cell>
          <cell r="H597">
            <v>1.01</v>
          </cell>
          <cell r="I597" t="str">
            <v>ton / M3</v>
          </cell>
        </row>
        <row r="599">
          <cell r="A599" t="str">
            <v>II.</v>
          </cell>
          <cell r="C599" t="str">
            <v>Koefisien Alat / M3</v>
          </cell>
          <cell r="D599" t="str">
            <v xml:space="preserve"> =  1  :  Q2</v>
          </cell>
          <cell r="G599" t="str">
            <v>(E08)</v>
          </cell>
          <cell r="H599">
            <v>7.2300000000000003E-2</v>
          </cell>
          <cell r="I599" t="str">
            <v>jam</v>
          </cell>
        </row>
        <row r="600">
          <cell r="A600">
            <v>1</v>
          </cell>
          <cell r="C600" t="str">
            <v>Permukaan dasar dibersihkan dan disemprot aspal cair</v>
          </cell>
        </row>
        <row r="601">
          <cell r="A601">
            <v>2</v>
          </cell>
          <cell r="C601" t="str">
            <v>Agregat kasar dimuat ke dalam Dump Truck menggunakan Wheel</v>
          </cell>
        </row>
        <row r="602">
          <cell r="A602" t="str">
            <v>2.c.</v>
          </cell>
          <cell r="C602" t="str">
            <v>ALAT  BANTU</v>
          </cell>
        </row>
        <row r="603">
          <cell r="A603">
            <v>3</v>
          </cell>
          <cell r="C603" t="str">
            <v>Diperlukan alat-alat bantu kecil</v>
          </cell>
          <cell r="J603" t="str">
            <v>Lump Sum</v>
          </cell>
        </row>
        <row r="604">
          <cell r="C604" t="str">
            <v>- Sekop</v>
          </cell>
        </row>
        <row r="605">
          <cell r="A605">
            <v>4</v>
          </cell>
          <cell r="C605" t="str">
            <v>- Keranjang</v>
          </cell>
        </row>
        <row r="606">
          <cell r="C606" t="str">
            <v>diratakan menggunakan Aspal Sprayer (merata)</v>
          </cell>
        </row>
        <row r="607">
          <cell r="A607" t="str">
            <v xml:space="preserve">   3.</v>
          </cell>
          <cell r="C607" t="str">
            <v>TENAGA</v>
          </cell>
        </row>
        <row r="608">
          <cell r="A608" t="str">
            <v/>
          </cell>
          <cell r="C608" t="str">
            <v>Produksi menentukan , Excavator</v>
          </cell>
          <cell r="G608" t="str">
            <v>Q1</v>
          </cell>
          <cell r="H608">
            <v>26.678599999999999</v>
          </cell>
          <cell r="I608" t="str">
            <v>M3  / jam</v>
          </cell>
        </row>
        <row r="609">
          <cell r="C609" t="str">
            <v xml:space="preserve">Produksi Galian / hari  =  </v>
          </cell>
          <cell r="G609" t="str">
            <v>Qt</v>
          </cell>
          <cell r="H609">
            <v>186.75020000000001</v>
          </cell>
          <cell r="I609" t="str">
            <v>M3</v>
          </cell>
        </row>
        <row r="610">
          <cell r="A610" t="str">
            <v>III.</v>
          </cell>
          <cell r="C610" t="str">
            <v>Kebutuhan tenaga :</v>
          </cell>
        </row>
        <row r="611">
          <cell r="D611" t="str">
            <v>- Pekerja</v>
          </cell>
          <cell r="G611" t="str">
            <v>P</v>
          </cell>
          <cell r="H611">
            <v>3</v>
          </cell>
          <cell r="I611" t="str">
            <v>orang</v>
          </cell>
        </row>
        <row r="612">
          <cell r="A612" t="str">
            <v xml:space="preserve">   1.</v>
          </cell>
          <cell r="C612" t="str">
            <v>BAHAN</v>
          </cell>
          <cell r="D612" t="str">
            <v>- Mandor</v>
          </cell>
          <cell r="G612" t="str">
            <v>M</v>
          </cell>
          <cell r="H612">
            <v>1</v>
          </cell>
          <cell r="I612" t="str">
            <v>orang</v>
          </cell>
        </row>
        <row r="613">
          <cell r="A613" t="str">
            <v>1.a.</v>
          </cell>
          <cell r="C613" t="str">
            <v>Agregat Kasar</v>
          </cell>
          <cell r="D613" t="str">
            <v>=  {(Ak/1000 : t M3) x Fh1} : D1</v>
          </cell>
          <cell r="G613" t="str">
            <v>(M03a)</v>
          </cell>
          <cell r="H613">
            <v>1.5674999999999999</v>
          </cell>
          <cell r="I613" t="str">
            <v>M3</v>
          </cell>
        </row>
        <row r="614">
          <cell r="A614" t="str">
            <v>1.b.</v>
          </cell>
          <cell r="C614" t="str">
            <v>Koefisien tenaga / liter   :</v>
          </cell>
          <cell r="D614" t="str">
            <v>=  {(Ap1/1000 : t M3) x Fh1} : D1</v>
          </cell>
          <cell r="G614" t="str">
            <v>(M04a)</v>
          </cell>
          <cell r="H614">
            <v>0.34379999999999999</v>
          </cell>
          <cell r="I614" t="str">
            <v>M3</v>
          </cell>
        </row>
        <row r="615">
          <cell r="A615" t="str">
            <v>1.c.</v>
          </cell>
          <cell r="C615" t="str">
            <v>Aspal</v>
          </cell>
          <cell r="D615" t="str">
            <v>- Pekerja</v>
          </cell>
          <cell r="E615" t="str">
            <v>= (Tk x P) : Qt</v>
          </cell>
          <cell r="G615" t="str">
            <v>(L01)</v>
          </cell>
          <cell r="H615">
            <v>0.1124</v>
          </cell>
          <cell r="I615" t="str">
            <v>jam</v>
          </cell>
        </row>
        <row r="616">
          <cell r="D616" t="str">
            <v>- Mandor</v>
          </cell>
          <cell r="E616" t="str">
            <v>= (Tk x M) : Qt</v>
          </cell>
          <cell r="G616" t="str">
            <v>(L03)</v>
          </cell>
          <cell r="H616">
            <v>3.7499999999999999E-2</v>
          </cell>
          <cell r="I616" t="str">
            <v>jam</v>
          </cell>
        </row>
        <row r="617">
          <cell r="A617" t="str">
            <v>2.</v>
          </cell>
          <cell r="C617" t="str">
            <v>ALAT</v>
          </cell>
        </row>
        <row r="618">
          <cell r="A618" t="str">
            <v>4.</v>
          </cell>
          <cell r="C618" t="str">
            <v>HARGA DASAR SATUAN UPAH, BAHAN DAN ALAT</v>
          </cell>
          <cell r="G618" t="str">
            <v>(E15)</v>
          </cell>
        </row>
        <row r="619">
          <cell r="C619" t="str">
            <v>Lihat lampiran.</v>
          </cell>
          <cell r="G619" t="str">
            <v>V</v>
          </cell>
          <cell r="H619">
            <v>0</v>
          </cell>
          <cell r="I619" t="str">
            <v>M3</v>
          </cell>
        </row>
        <row r="620">
          <cell r="C620" t="str">
            <v>Faktor bucket</v>
          </cell>
          <cell r="G620" t="str">
            <v>Fb</v>
          </cell>
          <cell r="H620">
            <v>0</v>
          </cell>
          <cell r="I620" t="str">
            <v>-</v>
          </cell>
        </row>
        <row r="621">
          <cell r="A621" t="str">
            <v>5.</v>
          </cell>
          <cell r="C621" t="str">
            <v>ANALISA HARGA SATUAN PEKERJAAN</v>
          </cell>
          <cell r="G621" t="str">
            <v>Fa</v>
          </cell>
          <cell r="H621">
            <v>0</v>
          </cell>
          <cell r="I621" t="str">
            <v>-</v>
          </cell>
        </row>
        <row r="622">
          <cell r="C622" t="str">
            <v>Lihat perhitungan dalam FORMULIR STANDAR UNTUK</v>
          </cell>
          <cell r="G622" t="str">
            <v>Ts1</v>
          </cell>
        </row>
        <row r="623">
          <cell r="C623" t="str">
            <v>PEREKEMAN ANALISA MASING-MASING HARGA</v>
          </cell>
          <cell r="G623" t="str">
            <v>T1</v>
          </cell>
          <cell r="H623">
            <v>0</v>
          </cell>
          <cell r="I623" t="str">
            <v>menit</v>
          </cell>
        </row>
        <row r="624">
          <cell r="C624" t="str">
            <v>SATUAN.</v>
          </cell>
          <cell r="G624" t="str">
            <v>T2</v>
          </cell>
          <cell r="H624">
            <v>0</v>
          </cell>
          <cell r="I624" t="str">
            <v>menit</v>
          </cell>
        </row>
        <row r="625">
          <cell r="C625" t="str">
            <v>Didapat Harga Satuan Pekerjaan :</v>
          </cell>
          <cell r="G625" t="str">
            <v>Ts1</v>
          </cell>
          <cell r="H625">
            <v>0</v>
          </cell>
          <cell r="I625" t="str">
            <v>menit</v>
          </cell>
        </row>
        <row r="627">
          <cell r="C627" t="str">
            <v xml:space="preserve">Rp.  </v>
          </cell>
          <cell r="D627">
            <v>17465.060000000001</v>
          </cell>
          <cell r="E627" t="str">
            <v xml:space="preserve"> / M3</v>
          </cell>
          <cell r="J627" t="str">
            <v>Berlanjut ke halaman berikut</v>
          </cell>
        </row>
        <row r="628">
          <cell r="A628" t="str">
            <v>ITEM PEMBAYARAN NO.</v>
          </cell>
          <cell r="D628" t="str">
            <v>:  6.6.2</v>
          </cell>
          <cell r="J628" t="str">
            <v>Analisa EI-662</v>
          </cell>
        </row>
        <row r="629">
          <cell r="A629" t="str">
            <v>JENIS PEKERJAAN</v>
          </cell>
          <cell r="D629" t="str">
            <v>:  Lapis Pen. Macadam Perata</v>
          </cell>
        </row>
        <row r="630">
          <cell r="A630" t="str">
            <v>SATUAN PEMBAYARAN</v>
          </cell>
          <cell r="D630" t="str">
            <v>:  M3</v>
          </cell>
          <cell r="H630" t="str">
            <v xml:space="preserve">         URAIAN ANALISA HARGA SATUAN</v>
          </cell>
        </row>
        <row r="631">
          <cell r="J631" t="str">
            <v>Lanjutan</v>
          </cell>
        </row>
        <row r="633">
          <cell r="A633" t="str">
            <v>No.</v>
          </cell>
          <cell r="C633" t="str">
            <v>U R A I A N</v>
          </cell>
          <cell r="G633" t="str">
            <v>KODE</v>
          </cell>
          <cell r="H633" t="str">
            <v>KOEF.</v>
          </cell>
          <cell r="I633" t="str">
            <v>SATUAN</v>
          </cell>
          <cell r="J633" t="str">
            <v>KETERANGAN</v>
          </cell>
        </row>
        <row r="636">
          <cell r="C636" t="str">
            <v xml:space="preserve">Kap. Prod. / jam = </v>
          </cell>
          <cell r="D636" t="str">
            <v>V x Fb x Fa x 60</v>
          </cell>
          <cell r="G636" t="str">
            <v>Q1</v>
          </cell>
          <cell r="H636">
            <v>0</v>
          </cell>
          <cell r="I636" t="str">
            <v>M3</v>
          </cell>
          <cell r="J636" t="str">
            <v/>
          </cell>
        </row>
        <row r="637">
          <cell r="D637" t="str">
            <v>Ts1</v>
          </cell>
        </row>
        <row r="639">
          <cell r="C639" t="str">
            <v>Koefisien Alat/M3</v>
          </cell>
          <cell r="D639" t="str">
            <v xml:space="preserve"> = 1 : Q1</v>
          </cell>
          <cell r="G639" t="str">
            <v>(E15)</v>
          </cell>
          <cell r="H639">
            <v>0</v>
          </cell>
          <cell r="I639" t="str">
            <v>Jam</v>
          </cell>
        </row>
        <row r="641">
          <cell r="A641" t="str">
            <v>2.b.</v>
          </cell>
          <cell r="C641" t="str">
            <v>DUMP TRUCK (DT)</v>
          </cell>
          <cell r="G641" t="str">
            <v>(E09)</v>
          </cell>
        </row>
        <row r="642">
          <cell r="C642" t="str">
            <v>Kapasitas bak</v>
          </cell>
          <cell r="G642" t="str">
            <v>V</v>
          </cell>
          <cell r="H642">
            <v>6</v>
          </cell>
          <cell r="I642" t="str">
            <v>M3</v>
          </cell>
        </row>
        <row r="643">
          <cell r="C643" t="str">
            <v>Faktor Efisiensi alat</v>
          </cell>
          <cell r="G643" t="str">
            <v>Fa</v>
          </cell>
          <cell r="H643">
            <v>0.83</v>
          </cell>
          <cell r="I643" t="str">
            <v>-</v>
          </cell>
        </row>
        <row r="644">
          <cell r="C644" t="str">
            <v>Kecepatan rata-rata bermuatan</v>
          </cell>
          <cell r="G644" t="str">
            <v>v1</v>
          </cell>
          <cell r="H644">
            <v>40</v>
          </cell>
          <cell r="I644" t="str">
            <v>KM / Jam</v>
          </cell>
        </row>
      </sheetData>
      <sheetData sheetId="13"/>
      <sheetData sheetId="14" refreshError="1"/>
      <sheetData sheetId="15">
        <row r="2">
          <cell r="L2" t="str">
            <v>DAFTAR  KUANTITAS DAN HARGA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8">
          <cell r="F8">
            <v>6428.5714285714284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9">
          <cell r="BU49">
            <v>2000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BH40">
            <v>0</v>
          </cell>
          <cell r="BI40">
            <v>1200</v>
          </cell>
          <cell r="BJ40">
            <v>800</v>
          </cell>
          <cell r="BK40">
            <v>3000</v>
          </cell>
        </row>
        <row r="43">
          <cell r="BN43">
            <v>5000</v>
          </cell>
        </row>
      </sheetData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0</v>
          </cell>
          <cell r="BI50">
            <v>600</v>
          </cell>
          <cell r="BJ50">
            <v>0</v>
          </cell>
          <cell r="BK50">
            <v>1800</v>
          </cell>
        </row>
        <row r="53">
          <cell r="BN53">
            <v>2400</v>
          </cell>
        </row>
      </sheetData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9">
          <cell r="BW49">
            <v>5000</v>
          </cell>
        </row>
        <row r="50">
          <cell r="BU50">
            <v>5000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8">
          <cell r="BU28">
            <v>2500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6">
          <cell r="BH36">
            <v>2600</v>
          </cell>
          <cell r="BI36">
            <v>1000</v>
          </cell>
          <cell r="BJ36">
            <v>600</v>
          </cell>
          <cell r="BK36">
            <v>0</v>
          </cell>
        </row>
        <row r="39">
          <cell r="BN39">
            <v>4200</v>
          </cell>
        </row>
      </sheetData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7">
          <cell r="BH17">
            <v>200</v>
          </cell>
          <cell r="BI17">
            <v>200</v>
          </cell>
          <cell r="BJ17">
            <v>0</v>
          </cell>
          <cell r="BK17">
            <v>0</v>
          </cell>
        </row>
        <row r="20">
          <cell r="BN20">
            <v>400</v>
          </cell>
        </row>
      </sheetData>
      <sheetData sheetId="5">
        <row r="37">
          <cell r="BW37">
            <v>4600</v>
          </cell>
        </row>
        <row r="38">
          <cell r="BU38">
            <v>4600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2800</v>
          </cell>
          <cell r="BI30">
            <v>0</v>
          </cell>
          <cell r="BJ30">
            <v>200</v>
          </cell>
          <cell r="BK30">
            <v>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0">
          <cell r="BH80">
            <v>8800</v>
          </cell>
          <cell r="BI80">
            <v>600</v>
          </cell>
          <cell r="BJ80">
            <v>3400</v>
          </cell>
          <cell r="BK80">
            <v>200</v>
          </cell>
        </row>
        <row r="83">
          <cell r="BN83">
            <v>13000</v>
          </cell>
        </row>
      </sheetData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BH55">
            <v>4800</v>
          </cell>
          <cell r="BI55">
            <v>1200</v>
          </cell>
          <cell r="BJ55">
            <v>2000</v>
          </cell>
          <cell r="BK55">
            <v>0</v>
          </cell>
        </row>
        <row r="58">
          <cell r="BN58">
            <v>8000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al"/>
      <sheetName val="Rab"/>
      <sheetName val="OE"/>
      <sheetName val="Informasi"/>
      <sheetName val="Mobil"/>
      <sheetName val="Quary"/>
      <sheetName val="Basic"/>
      <sheetName val="Alat"/>
      <sheetName val="Div.2"/>
      <sheetName val="Div.3"/>
      <sheetName val="Div.5"/>
      <sheetName val="Div.6"/>
      <sheetName val="Div.8"/>
      <sheetName val="D7"/>
      <sheetName val="Sumuran"/>
      <sheetName val="D7b"/>
      <sheetName val="Rekap-6"/>
      <sheetName val="Rab-6"/>
      <sheetName val="Mobil-6"/>
      <sheetName val="Onsite"/>
      <sheetName val="Alat (2)"/>
      <sheetName val="Div. 8 Panas"/>
      <sheetName val="Selokan"/>
      <sheetName val="Rutin Bahu (2)"/>
      <sheetName val="Vol Gr2"/>
      <sheetName val="Vol Talud"/>
      <sheetName val="Volume"/>
      <sheetName val="Rekap"/>
      <sheetName val="Kuantitas"/>
      <sheetName val="Upah"/>
      <sheetName val="Mobilisasi"/>
      <sheetName val="Input Data"/>
      <sheetName val="Div1"/>
      <sheetName val="Sam (2)"/>
      <sheetName val="An-2"/>
      <sheetName val="Md-2"/>
      <sheetName val="Buis beton"/>
      <sheetName val="An-3"/>
      <sheetName val="Md-3"/>
      <sheetName val="An-4"/>
      <sheetName val="Md-4"/>
      <sheetName val="An-5"/>
      <sheetName val="Md-5"/>
      <sheetName val="An.6"/>
      <sheetName val="Md.6"/>
      <sheetName val="An.7"/>
      <sheetName val="Md.7"/>
      <sheetName val="Bronjong"/>
      <sheetName val="An.8"/>
      <sheetName val="Md.8"/>
      <sheetName val="An Supl"/>
      <sheetName val="Md Supl"/>
      <sheetName val="Perhitungan Material"/>
      <sheetName val="Scd Mat 4 Bln"/>
      <sheetName val="Scd 4 bln"/>
      <sheetName val="Siring Pas."/>
      <sheetName val="Terblng Rk-2"/>
      <sheetName val="Rk.th2"/>
      <sheetName val="kw-th2"/>
      <sheetName val="Mb.th2"/>
      <sheetName val="Terblng Rk-1"/>
      <sheetName val="Rk.th1"/>
      <sheetName val="Kw-th1"/>
      <sheetName val="Mb.th1"/>
      <sheetName val="An Hotmix"/>
      <sheetName val="Md Hotmix"/>
      <sheetName val="An.7 Pancang"/>
      <sheetName val="Md7.pancang"/>
      <sheetName val="Md.7 Sumur"/>
      <sheetName val="An 7 Sumur"/>
      <sheetName val="Rangka Baja"/>
      <sheetName val="An.11"/>
      <sheetName val="Md 11"/>
      <sheetName val="Inf."/>
      <sheetName val="Isian"/>
      <sheetName val="BACK UP DATA"/>
      <sheetName val="PEMBESIAN"/>
      <sheetName val="BACK UP NYERUPA"/>
      <sheetName val="Anal_K"/>
      <sheetName val="HS"/>
      <sheetName val="ANALIS ATB DR METRO"/>
      <sheetName val="Alat_2"/>
      <sheetName val="NP1"/>
      <sheetName val="NP2"/>
      <sheetName val="NP3"/>
      <sheetName val="NP4"/>
      <sheetName val="NP5"/>
      <sheetName val="NP6"/>
      <sheetName val="NP7"/>
      <sheetName val="NP8"/>
      <sheetName val="AQ"/>
      <sheetName val="Ag.H&amp;K"/>
      <sheetName val="Ag.A"/>
      <sheetName val="Ag.B"/>
      <sheetName val="Ag.C"/>
      <sheetName val="BA Gorong2 "/>
      <sheetName val="JADWAL"/>
      <sheetName val="Kuantitas &amp; Harga"/>
      <sheetName val="Rekap Biaya"/>
      <sheetName val="Data Konsultan"/>
      <sheetName val="Harga bahan &amp; upah"/>
      <sheetName val="Terbilang"/>
      <sheetName val="3"/>
      <sheetName val="4"/>
      <sheetName val="BOW"/>
      <sheetName val="SEWA ALAT"/>
      <sheetName val="3-DIV3"/>
      <sheetName val="ANAL"/>
      <sheetName val="112-885"/>
      <sheetName val="Anl.+"/>
      <sheetName val="ANALIS"/>
      <sheetName val="ANALISA"/>
      <sheetName val="KH"/>
      <sheetName val="Harga Upah+Bahan"/>
      <sheetName val="Kuantitas &amp; Harga "/>
      <sheetName val="SAT"/>
      <sheetName val="Anl-K"/>
      <sheetName val="Analis SNI"/>
      <sheetName val="rekap-an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HARGA &amp; JARAK RATA-RATA</v>
          </cell>
          <cell r="B1" t="str">
            <v>ANALISA BIAYA SEWA PERALATAN PER JAM KERJA</v>
          </cell>
          <cell r="D1" t="str">
            <v>:  2.1</v>
          </cell>
        </row>
        <row r="2">
          <cell r="A2" t="str">
            <v>DARI SUMBER BAHAN (QUARRY)</v>
          </cell>
          <cell r="D2" t="str">
            <v>:  Pek. Galian Untuk Saluran</v>
          </cell>
        </row>
        <row r="3">
          <cell r="D3" t="str">
            <v>:  M3</v>
          </cell>
          <cell r="H3" t="str">
            <v xml:space="preserve">         URAIAN ANALISA HARGA SATUAN</v>
          </cell>
        </row>
        <row r="4">
          <cell r="F4" t="str">
            <v>HARGA</v>
          </cell>
          <cell r="G4" t="str">
            <v>JARAK</v>
          </cell>
        </row>
        <row r="5">
          <cell r="A5" t="str">
            <v>No.</v>
          </cell>
          <cell r="B5" t="str">
            <v>U R A I A N</v>
          </cell>
          <cell r="E5" t="str">
            <v>SATUAN</v>
          </cell>
          <cell r="F5" t="str">
            <v>ROYALTY</v>
          </cell>
          <cell r="G5" t="str">
            <v>QUARRY</v>
          </cell>
          <cell r="H5" t="str">
            <v>KET.</v>
          </cell>
        </row>
        <row r="6">
          <cell r="C6" t="str">
            <v>U R A I A N</v>
          </cell>
          <cell r="F6" t="str">
            <v>(Rp)</v>
          </cell>
          <cell r="G6" t="str">
            <v>( Km )</v>
          </cell>
          <cell r="H6" t="str">
            <v>KOEF.</v>
          </cell>
        </row>
        <row r="8">
          <cell r="A8" t="str">
            <v>1.</v>
          </cell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</row>
        <row r="9">
          <cell r="C9" t="str">
            <v>ASUMSI</v>
          </cell>
          <cell r="F9" t="str">
            <v>(HP)</v>
          </cell>
          <cell r="G9" t="str">
            <v>-</v>
          </cell>
        </row>
        <row r="10">
          <cell r="A10" t="str">
            <v>2.</v>
          </cell>
          <cell r="B10" t="str">
            <v>No.</v>
          </cell>
          <cell r="C10" t="str">
            <v>M06  -  Batu Belah</v>
          </cell>
          <cell r="E10" t="str">
            <v>M3</v>
          </cell>
          <cell r="F10">
            <v>25000</v>
          </cell>
          <cell r="G10">
            <v>25</v>
          </cell>
          <cell r="H10" t="str">
            <v xml:space="preserve"> Ke Lokasi Pek.</v>
          </cell>
        </row>
        <row r="11">
          <cell r="C11" t="str">
            <v>Lokasi pekerjaan :  Sekitar Jembatan</v>
          </cell>
          <cell r="E11" t="str">
            <v>ALAT</v>
          </cell>
        </row>
        <row r="12">
          <cell r="A12" t="str">
            <v>3.</v>
          </cell>
          <cell r="C12" t="str">
            <v>M03  -  Agregate Kasar , untuk  Base.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</row>
        <row r="13">
          <cell r="C13" t="str">
            <v>Jam kerja efektif per-hari</v>
          </cell>
          <cell r="G13" t="str">
            <v>Tk</v>
          </cell>
          <cell r="H13">
            <v>7</v>
          </cell>
        </row>
        <row r="14">
          <cell r="A14" t="str">
            <v>4.</v>
          </cell>
          <cell r="C14" t="str">
            <v>M03a.- Agregate Kasar untuk Lapen / Cor</v>
          </cell>
          <cell r="E14" t="str">
            <v>M3</v>
          </cell>
          <cell r="F14">
            <v>65000</v>
          </cell>
          <cell r="G14">
            <v>50</v>
          </cell>
          <cell r="H14" t="str">
            <v xml:space="preserve"> Ke Lokasi Pek.</v>
          </cell>
        </row>
        <row r="15">
          <cell r="F15" t="str">
            <v>HP</v>
          </cell>
          <cell r="G15" t="str">
            <v>Cp</v>
          </cell>
        </row>
        <row r="16">
          <cell r="A16" t="str">
            <v>5.</v>
          </cell>
          <cell r="B16" t="str">
            <v>1</v>
          </cell>
          <cell r="C16" t="str">
            <v>M04  -  Agregate Halus , untuk  Base.</v>
          </cell>
          <cell r="E16" t="str">
            <v>M3</v>
          </cell>
          <cell r="F16">
            <v>0</v>
          </cell>
          <cell r="G16">
            <v>0</v>
          </cell>
          <cell r="H16" t="str">
            <v xml:space="preserve"> Ke Base Camp.</v>
          </cell>
        </row>
        <row r="17">
          <cell r="C17" t="str">
            <v>Penggalian dilakukan dengan menggunakan Excavator</v>
          </cell>
        </row>
        <row r="18">
          <cell r="A18" t="str">
            <v>6.</v>
          </cell>
          <cell r="B18" t="str">
            <v>1.</v>
          </cell>
          <cell r="C18" t="str">
            <v xml:space="preserve">M04a.- Agregate Halus untuk Lapen </v>
          </cell>
          <cell r="D18" t="str">
            <v>ASPHALT MIXING PLANT</v>
          </cell>
          <cell r="E18" t="str">
            <v>M3</v>
          </cell>
          <cell r="F18">
            <v>60000</v>
          </cell>
          <cell r="G18">
            <v>50</v>
          </cell>
          <cell r="H18" t="str">
            <v xml:space="preserve"> Ke Lokasi Pek.</v>
          </cell>
        </row>
        <row r="19"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</row>
        <row r="20">
          <cell r="A20" t="str">
            <v>7.</v>
          </cell>
          <cell r="B20" t="str">
            <v>3.</v>
          </cell>
          <cell r="C20" t="str">
            <v>M06a - Batu Belah 10/15</v>
          </cell>
          <cell r="D20" t="str">
            <v>ASPHALT SPRAYER</v>
          </cell>
          <cell r="E20" t="str">
            <v>M3</v>
          </cell>
          <cell r="F20">
            <v>45000</v>
          </cell>
          <cell r="G20">
            <v>25</v>
          </cell>
          <cell r="H20" t="str">
            <v xml:space="preserve"> Ke Lokasi Pek.</v>
          </cell>
        </row>
        <row r="21"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 xml:space="preserve">          -</v>
          </cell>
          <cell r="H21" t="str">
            <v/>
          </cell>
        </row>
        <row r="22">
          <cell r="A22" t="str">
            <v>8.</v>
          </cell>
          <cell r="B22" t="str">
            <v>5.</v>
          </cell>
          <cell r="C22" t="str">
            <v>M06b - Batu Belah  5/7</v>
          </cell>
          <cell r="D22" t="str">
            <v>COMPRESSOR 4000-6500 L\M</v>
          </cell>
          <cell r="E22" t="str">
            <v>M3</v>
          </cell>
          <cell r="F22">
            <v>50000</v>
          </cell>
          <cell r="G22">
            <v>25</v>
          </cell>
          <cell r="H22" t="str">
            <v xml:space="preserve"> Ke Lokasi Pek.</v>
          </cell>
        </row>
        <row r="23">
          <cell r="B23" t="str">
            <v>6.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</row>
        <row r="24">
          <cell r="A24" t="str">
            <v>9.</v>
          </cell>
          <cell r="B24" t="str">
            <v>7.</v>
          </cell>
          <cell r="C24" t="str">
            <v>M16  -  Krakal/Sirtu</v>
          </cell>
          <cell r="D24" t="str">
            <v>CRANE 10-15 TON</v>
          </cell>
          <cell r="E24" t="str">
            <v>M3</v>
          </cell>
          <cell r="F24">
            <v>0</v>
          </cell>
          <cell r="G24">
            <v>0</v>
          </cell>
          <cell r="H24" t="str">
            <v xml:space="preserve"> Ke Base Camp.</v>
          </cell>
        </row>
        <row r="25">
          <cell r="B25" t="str">
            <v>8.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</row>
        <row r="26">
          <cell r="A26" t="str">
            <v>10.</v>
          </cell>
          <cell r="B26" t="str">
            <v>9.</v>
          </cell>
          <cell r="C26" t="str">
            <v>M44  -  P a s i r urug</v>
          </cell>
          <cell r="D26" t="str">
            <v>DUMP TRUCK</v>
          </cell>
          <cell r="E26" t="str">
            <v>M3</v>
          </cell>
          <cell r="F26">
            <v>12500</v>
          </cell>
          <cell r="G26">
            <v>30</v>
          </cell>
          <cell r="H26" t="str">
            <v xml:space="preserve"> Ke Lokasi Pek.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</row>
        <row r="29"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</row>
        <row r="30"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 xml:space="preserve">          -</v>
          </cell>
          <cell r="H30" t="str">
            <v/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>
            <v>1.6</v>
          </cell>
          <cell r="H31" t="str">
            <v>M3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>
            <v>1.5</v>
          </cell>
          <cell r="H32" t="str">
            <v>M3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>
            <v>8</v>
          </cell>
          <cell r="H33" t="str">
            <v>Ton</v>
          </cell>
        </row>
        <row r="34">
          <cell r="B34" t="str">
            <v>17.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</row>
        <row r="35"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>
            <v>10</v>
          </cell>
          <cell r="H35" t="str">
            <v>Ton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>
            <v>7</v>
          </cell>
          <cell r="H36" t="str">
            <v>Ton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 xml:space="preserve">          -</v>
          </cell>
          <cell r="H37" t="str">
            <v/>
          </cell>
        </row>
        <row r="38">
          <cell r="B38" t="str">
            <v>21.</v>
          </cell>
          <cell r="D38" t="str">
            <v>STONE CRUSHER</v>
          </cell>
          <cell r="E38" t="str">
            <v>E21</v>
          </cell>
          <cell r="F38">
            <v>220</v>
          </cell>
          <cell r="G38">
            <v>30</v>
          </cell>
          <cell r="H38" t="str">
            <v>T/Jam</v>
          </cell>
        </row>
        <row r="39">
          <cell r="A39" t="str">
            <v>ANALISA HARGA DASAR SATUAN BAHAN</v>
          </cell>
          <cell r="B39" t="str">
            <v>22.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</row>
        <row r="40">
          <cell r="B40" t="str">
            <v>23.</v>
          </cell>
          <cell r="C40" t="str">
            <v>Kap. Prod. / jam =</v>
          </cell>
          <cell r="D40" t="str">
            <v>WATER TANKER 3000-4500 L.</v>
          </cell>
          <cell r="E40" t="str">
            <v>E23</v>
          </cell>
          <cell r="F40">
            <v>100</v>
          </cell>
          <cell r="G40">
            <v>4000</v>
          </cell>
          <cell r="H40" t="str">
            <v>Liter</v>
          </cell>
        </row>
        <row r="41">
          <cell r="A41" t="str">
            <v>Jenis</v>
          </cell>
          <cell r="B41" t="str">
            <v>:</v>
          </cell>
          <cell r="C41" t="str">
            <v>M01 -  Pasir</v>
          </cell>
          <cell r="D41" t="str">
            <v>PEDESTRIAN ROLLER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</row>
        <row r="42">
          <cell r="A42" t="str">
            <v>Lokasi</v>
          </cell>
          <cell r="B42" t="str">
            <v>:</v>
          </cell>
          <cell r="C42" t="str">
            <v>Quarry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</row>
        <row r="43">
          <cell r="A43" t="str">
            <v>Tujuan</v>
          </cell>
          <cell r="B43" t="str">
            <v>:</v>
          </cell>
          <cell r="C43" t="str">
            <v>Base Camp / Lokasi Pekerjaan</v>
          </cell>
          <cell r="D43" t="str">
            <v>JACK HAMMER</v>
          </cell>
          <cell r="E43" t="str">
            <v>E26</v>
          </cell>
          <cell r="F43">
            <v>3</v>
          </cell>
          <cell r="G43" t="str">
            <v xml:space="preserve">          -</v>
          </cell>
          <cell r="H43" t="str">
            <v/>
          </cell>
        </row>
        <row r="44"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</row>
        <row r="45"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>
            <v>8</v>
          </cell>
          <cell r="H45" t="str">
            <v>HARGA</v>
          </cell>
        </row>
        <row r="46">
          <cell r="A46" t="str">
            <v>No.</v>
          </cell>
          <cell r="B46" t="str">
            <v>URAIAN</v>
          </cell>
          <cell r="C46" t="str">
            <v>Kaasitas bak</v>
          </cell>
          <cell r="D46" t="str">
            <v>TRAILER 20 TON</v>
          </cell>
          <cell r="E46" t="str">
            <v>KODE</v>
          </cell>
          <cell r="F46" t="str">
            <v>KOEF.</v>
          </cell>
          <cell r="G46" t="str">
            <v>SATUAN</v>
          </cell>
          <cell r="H46" t="str">
            <v>SATUAN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>
            <v>2.5</v>
          </cell>
          <cell r="H47" t="str">
            <v>(Rp.)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>
            <v>35</v>
          </cell>
          <cell r="H48" t="str">
            <v>Ton</v>
          </cell>
        </row>
        <row r="49">
          <cell r="A49" t="str">
            <v>I.</v>
          </cell>
          <cell r="C49" t="str">
            <v>ASUMSI</v>
          </cell>
          <cell r="G49" t="str">
            <v>v2</v>
          </cell>
          <cell r="H49">
            <v>60</v>
          </cell>
        </row>
        <row r="50">
          <cell r="A50">
            <v>1</v>
          </cell>
          <cell r="C50" t="str">
            <v>Menggunakan alat berat</v>
          </cell>
          <cell r="E50" t="str">
            <v>=   (L  :  v1)  x  60</v>
          </cell>
          <cell r="G50" t="str">
            <v>Ts2</v>
          </cell>
          <cell r="H50">
            <v>1.5</v>
          </cell>
        </row>
        <row r="51">
          <cell r="A51">
            <v>2</v>
          </cell>
          <cell r="C51" t="str">
            <v>Kondisi Jalan   :  sedang / baik</v>
          </cell>
          <cell r="E51" t="str">
            <v>=   (L  :  v1)  x  60</v>
          </cell>
          <cell r="G51" t="str">
            <v>T1</v>
          </cell>
          <cell r="H51">
            <v>1.5</v>
          </cell>
        </row>
        <row r="52">
          <cell r="A52">
            <v>3</v>
          </cell>
          <cell r="C52" t="str">
            <v>Jarak Quarry ke lokasi Pekerjaan</v>
          </cell>
          <cell r="D52" t="str">
            <v xml:space="preserve">KETERANGAN  : </v>
          </cell>
          <cell r="E52" t="str">
            <v>L</v>
          </cell>
          <cell r="F52">
            <v>30</v>
          </cell>
          <cell r="G52" t="str">
            <v>Km</v>
          </cell>
          <cell r="H52">
            <v>1</v>
          </cell>
        </row>
        <row r="53">
          <cell r="A53">
            <v>4</v>
          </cell>
          <cell r="C53" t="str">
            <v>Harga satuan pasir di Quarry</v>
          </cell>
          <cell r="E53" t="str">
            <v>RpM01</v>
          </cell>
          <cell r="F53">
            <v>1</v>
          </cell>
          <cell r="G53" t="str">
            <v>M3</v>
          </cell>
          <cell r="H53">
            <v>15000</v>
          </cell>
        </row>
        <row r="54">
          <cell r="A54">
            <v>5</v>
          </cell>
          <cell r="C54" t="str">
            <v>Harga Satuan Dasar Dump Truck</v>
          </cell>
          <cell r="E54" t="str">
            <v>RpE08</v>
          </cell>
          <cell r="F54">
            <v>1</v>
          </cell>
          <cell r="G54" t="str">
            <v>Jam</v>
          </cell>
          <cell r="H54">
            <v>82267.929999999993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</row>
        <row r="56">
          <cell r="D56" t="str">
            <v>:  3.1 (1)</v>
          </cell>
          <cell r="E56" t="str">
            <v>5.</v>
          </cell>
          <cell r="F56" t="str">
            <v>Harga Bahan Bakar Solar</v>
          </cell>
        </row>
        <row r="57">
          <cell r="A57" t="str">
            <v>II.</v>
          </cell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</row>
        <row r="58"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</row>
        <row r="59">
          <cell r="A59">
            <v>1</v>
          </cell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</row>
        <row r="60">
          <cell r="C60" t="str">
            <v>galian ke dalam Dump Truck</v>
          </cell>
        </row>
        <row r="61">
          <cell r="A61">
            <v>2</v>
          </cell>
          <cell r="C61" t="str">
            <v>Dump Truck mengangkut pasir ke lokasi</v>
          </cell>
        </row>
        <row r="62">
          <cell r="C62" t="str">
            <v>Pekerjaan</v>
          </cell>
        </row>
        <row r="64">
          <cell r="A64" t="str">
            <v>III.</v>
          </cell>
          <cell r="C64" t="str">
            <v>PERHITUNGAN</v>
          </cell>
        </row>
        <row r="66">
          <cell r="C66" t="str">
            <v>EXCAVATOR</v>
          </cell>
          <cell r="E66" t="str">
            <v>(E10)</v>
          </cell>
        </row>
        <row r="67">
          <cell r="C67" t="str">
            <v>Kapasitas Bucket</v>
          </cell>
          <cell r="E67" t="str">
            <v>V</v>
          </cell>
          <cell r="F67">
            <v>0.5</v>
          </cell>
          <cell r="G67" t="str">
            <v>M3</v>
          </cell>
        </row>
        <row r="68">
          <cell r="C68" t="str">
            <v>Faktor Bucket</v>
          </cell>
          <cell r="E68" t="str">
            <v>Fb</v>
          </cell>
          <cell r="F68">
            <v>0.9</v>
          </cell>
          <cell r="G68" t="str">
            <v>-</v>
          </cell>
        </row>
        <row r="69">
          <cell r="C69" t="str">
            <v>Faktor  Efisiensi alat</v>
          </cell>
          <cell r="E69" t="str">
            <v>Fa</v>
          </cell>
          <cell r="F69">
            <v>0.83</v>
          </cell>
          <cell r="G69" t="str">
            <v>-</v>
          </cell>
        </row>
        <row r="70">
          <cell r="C70" t="str">
            <v>Waktu siklus</v>
          </cell>
          <cell r="E70" t="str">
            <v>Ts1</v>
          </cell>
        </row>
        <row r="71">
          <cell r="C71" t="str">
            <v>- Menggali / memuat</v>
          </cell>
          <cell r="E71" t="str">
            <v>T1</v>
          </cell>
          <cell r="F71">
            <v>0.25</v>
          </cell>
          <cell r="G71" t="str">
            <v>menit</v>
          </cell>
        </row>
        <row r="72">
          <cell r="C72" t="str">
            <v>- Lain-lain</v>
          </cell>
          <cell r="E72" t="str">
            <v>T2</v>
          </cell>
          <cell r="F72">
            <v>0.25</v>
          </cell>
          <cell r="G72" t="str">
            <v>menit</v>
          </cell>
        </row>
        <row r="73">
          <cell r="E73" t="str">
            <v>Ts1</v>
          </cell>
          <cell r="F73">
            <v>0.5</v>
          </cell>
          <cell r="G73" t="str">
            <v>menit</v>
          </cell>
        </row>
        <row r="74">
          <cell r="C74" t="str">
            <v>Kap. Prod. / jam =</v>
          </cell>
        </row>
        <row r="75">
          <cell r="C75" t="str">
            <v>V  x Fb x Fa x 60</v>
          </cell>
          <cell r="E75" t="str">
            <v>Q1</v>
          </cell>
          <cell r="F75">
            <v>44.82</v>
          </cell>
          <cell r="G75" t="str">
            <v>M3 / Jam</v>
          </cell>
        </row>
        <row r="76">
          <cell r="C76" t="str">
            <v>Ts1</v>
          </cell>
        </row>
        <row r="81">
          <cell r="C81" t="str">
            <v>DUMP TRUCK</v>
          </cell>
          <cell r="E81" t="str">
            <v>(E08)</v>
          </cell>
        </row>
        <row r="82">
          <cell r="C82" t="str">
            <v>Kapasitas bak</v>
          </cell>
          <cell r="E82" t="str">
            <v>V</v>
          </cell>
          <cell r="F82">
            <v>4</v>
          </cell>
          <cell r="G82" t="str">
            <v>M3</v>
          </cell>
        </row>
        <row r="83">
          <cell r="C83" t="str">
            <v>Faktor  efisiensi alat</v>
          </cell>
          <cell r="E83" t="str">
            <v>Fa</v>
          </cell>
          <cell r="F83">
            <v>0.83</v>
          </cell>
          <cell r="G83" t="str">
            <v>`</v>
          </cell>
        </row>
        <row r="84">
          <cell r="C84" t="str">
            <v>Kecepatan rata-rata bermuatan</v>
          </cell>
          <cell r="E84" t="str">
            <v>v1</v>
          </cell>
          <cell r="F84">
            <v>40</v>
          </cell>
          <cell r="G84" t="str">
            <v>KM/Jam</v>
          </cell>
        </row>
        <row r="85">
          <cell r="C85" t="str">
            <v>Kecepatan rata-rata kosong</v>
          </cell>
          <cell r="E85" t="str">
            <v>v2</v>
          </cell>
          <cell r="F85">
            <v>60</v>
          </cell>
          <cell r="G85" t="str">
            <v>KM/Jam</v>
          </cell>
        </row>
        <row r="86">
          <cell r="C86" t="str">
            <v>Waktu  siklus</v>
          </cell>
          <cell r="E86" t="str">
            <v>Ts2</v>
          </cell>
        </row>
        <row r="87">
          <cell r="C87" t="str">
            <v>- Waktu tempuh isi  =  (L/v1) x 60</v>
          </cell>
          <cell r="E87" t="str">
            <v>T1</v>
          </cell>
          <cell r="F87">
            <v>45</v>
          </cell>
          <cell r="G87" t="str">
            <v>menit</v>
          </cell>
        </row>
        <row r="88">
          <cell r="C88" t="str">
            <v>- Waktu tempuh kosong  =  (L/v2) x 60</v>
          </cell>
          <cell r="E88" t="str">
            <v>T2</v>
          </cell>
          <cell r="F88">
            <v>30</v>
          </cell>
          <cell r="G88" t="str">
            <v>menit</v>
          </cell>
        </row>
        <row r="89">
          <cell r="C89" t="str">
            <v>- Muat   =  (V/Q1) x 60</v>
          </cell>
          <cell r="E89" t="str">
            <v>T3</v>
          </cell>
          <cell r="F89">
            <v>5.3548</v>
          </cell>
          <cell r="G89" t="str">
            <v>menit</v>
          </cell>
        </row>
        <row r="90">
          <cell r="C90" t="str">
            <v>- Lain-lain</v>
          </cell>
          <cell r="E90" t="str">
            <v>T4</v>
          </cell>
          <cell r="F90">
            <v>1</v>
          </cell>
          <cell r="G90" t="str">
            <v>menit</v>
          </cell>
        </row>
        <row r="91">
          <cell r="E91" t="str">
            <v>Ts2</v>
          </cell>
          <cell r="F91">
            <v>81.354799999999997</v>
          </cell>
          <cell r="G91" t="str">
            <v>menit</v>
          </cell>
        </row>
        <row r="93">
          <cell r="H93" t="str">
            <v xml:space="preserve">Bersambung  </v>
          </cell>
        </row>
        <row r="94">
          <cell r="A94" t="str">
            <v>ANALISA HARGA DASAR SATUAN BAHAN</v>
          </cell>
        </row>
        <row r="96">
          <cell r="A96" t="str">
            <v>Jenis</v>
          </cell>
          <cell r="B96" t="str">
            <v>:</v>
          </cell>
          <cell r="C96" t="str">
            <v>M01 -  Pasir</v>
          </cell>
        </row>
        <row r="97">
          <cell r="A97" t="str">
            <v>Lokasi</v>
          </cell>
          <cell r="B97" t="str">
            <v>:</v>
          </cell>
          <cell r="C97" t="str">
            <v>Quarry</v>
          </cell>
        </row>
        <row r="98">
          <cell r="A98" t="str">
            <v>Tujuan</v>
          </cell>
          <cell r="B98" t="str">
            <v>:</v>
          </cell>
          <cell r="C98" t="str">
            <v>Base Camp / Lokasi Pekerjaan</v>
          </cell>
        </row>
        <row r="100">
          <cell r="H100" t="str">
            <v xml:space="preserve">Lanjutan  </v>
          </cell>
        </row>
        <row r="101">
          <cell r="H101" t="str">
            <v>HARGA</v>
          </cell>
        </row>
        <row r="102">
          <cell r="A102" t="str">
            <v>No.</v>
          </cell>
          <cell r="B102" t="str">
            <v>URAIAN</v>
          </cell>
          <cell r="E102" t="str">
            <v>KODE</v>
          </cell>
          <cell r="F102" t="str">
            <v>KOEF.</v>
          </cell>
          <cell r="G102" t="str">
            <v>SATUAN</v>
          </cell>
          <cell r="H102" t="str">
            <v>SATUAN</v>
          </cell>
        </row>
        <row r="103">
          <cell r="H103" t="str">
            <v>(Rp.)</v>
          </cell>
        </row>
        <row r="105">
          <cell r="C105" t="str">
            <v>Kapasitas Produksi / Jam   =</v>
          </cell>
        </row>
        <row r="106">
          <cell r="C106" t="str">
            <v>V x Fa x 60</v>
          </cell>
          <cell r="E106" t="str">
            <v>Q2</v>
          </cell>
          <cell r="F106">
            <v>2.4485000000000001</v>
          </cell>
          <cell r="G106" t="str">
            <v>M3 / Jam</v>
          </cell>
        </row>
        <row r="107">
          <cell r="C107" t="str">
            <v>Ts2</v>
          </cell>
        </row>
        <row r="109">
          <cell r="C109" t="str">
            <v>Biaya Dump Truck / M3  =  (1 : Q2) x RpE08</v>
          </cell>
          <cell r="E109" t="str">
            <v>Rp1</v>
          </cell>
          <cell r="F109">
            <v>33599.317900000002</v>
          </cell>
          <cell r="G109" t="str">
            <v>Rupiah</v>
          </cell>
        </row>
        <row r="112">
          <cell r="A112" t="str">
            <v>IV.</v>
          </cell>
          <cell r="C112" t="str">
            <v>HARGA SATUAN DASAR BAHAN</v>
          </cell>
        </row>
        <row r="113">
          <cell r="C113" t="str">
            <v>DI LOKASI BASE CAMP</v>
          </cell>
        </row>
        <row r="115">
          <cell r="C115" t="str">
            <v>Harga Satuan Dasar Pasir   =</v>
          </cell>
        </row>
        <row r="117">
          <cell r="C117" t="str">
            <v>(  RpM01  +  Rp  )</v>
          </cell>
          <cell r="E117" t="str">
            <v>M01</v>
          </cell>
          <cell r="F117">
            <v>48599.317900000002</v>
          </cell>
          <cell r="G117" t="str">
            <v>Rupiah</v>
          </cell>
        </row>
        <row r="119">
          <cell r="C119" t="str">
            <v>Dibulatkan   :</v>
          </cell>
          <cell r="E119" t="str">
            <v>M01</v>
          </cell>
          <cell r="F119">
            <v>48500</v>
          </cell>
          <cell r="G119" t="str">
            <v>Rupiah</v>
          </cell>
        </row>
        <row r="149">
          <cell r="A149" t="str">
            <v>ANALISA HARGA DASAR SATUAN BAHAN</v>
          </cell>
        </row>
        <row r="151">
          <cell r="A151" t="str">
            <v>Jenis</v>
          </cell>
          <cell r="B151" t="str">
            <v>:</v>
          </cell>
          <cell r="C151" t="str">
            <v>M06  -  Batu Belah</v>
          </cell>
        </row>
        <row r="152">
          <cell r="A152" t="str">
            <v>Lokasi</v>
          </cell>
          <cell r="B152" t="str">
            <v>:</v>
          </cell>
          <cell r="C152" t="str">
            <v>Quarry</v>
          </cell>
        </row>
        <row r="153">
          <cell r="A153" t="str">
            <v>Tujuan</v>
          </cell>
          <cell r="B153" t="str">
            <v>:</v>
          </cell>
          <cell r="C153" t="str">
            <v>Lokasi Pekerjaan</v>
          </cell>
        </row>
        <row r="155">
          <cell r="H155" t="str">
            <v>HARGA</v>
          </cell>
        </row>
        <row r="156">
          <cell r="A156" t="str">
            <v>No.</v>
          </cell>
          <cell r="B156" t="str">
            <v>URAIAN</v>
          </cell>
          <cell r="E156" t="str">
            <v>KODE</v>
          </cell>
          <cell r="F156" t="str">
            <v>KOEF.</v>
          </cell>
          <cell r="G156" t="str">
            <v>SATUAN</v>
          </cell>
          <cell r="H156" t="str">
            <v>SATUAN</v>
          </cell>
        </row>
        <row r="157">
          <cell r="H157" t="str">
            <v>(Rp.)</v>
          </cell>
        </row>
        <row r="159">
          <cell r="A159" t="str">
            <v>I.</v>
          </cell>
          <cell r="C159" t="str">
            <v>ASUMSI</v>
          </cell>
        </row>
        <row r="160">
          <cell r="A160">
            <v>1</v>
          </cell>
          <cell r="C160" t="str">
            <v>Menggunakan alat berat</v>
          </cell>
        </row>
        <row r="161">
          <cell r="A161">
            <v>2</v>
          </cell>
          <cell r="C161" t="str">
            <v>Kondisi Jalan   :  sedang / baik</v>
          </cell>
        </row>
        <row r="162">
          <cell r="A162">
            <v>3</v>
          </cell>
          <cell r="C162" t="str">
            <v>Jarak Quarry ke Lokasi Pekerjaan</v>
          </cell>
          <cell r="E162" t="str">
            <v>L</v>
          </cell>
          <cell r="F162">
            <v>25</v>
          </cell>
          <cell r="G162" t="str">
            <v>Km</v>
          </cell>
        </row>
        <row r="163">
          <cell r="A163">
            <v>4</v>
          </cell>
          <cell r="C163" t="str">
            <v>Harga satuan batu kali di Quarry</v>
          </cell>
          <cell r="E163" t="str">
            <v>RpM02</v>
          </cell>
          <cell r="F163">
            <v>1</v>
          </cell>
          <cell r="G163" t="str">
            <v>M3</v>
          </cell>
          <cell r="H163">
            <v>25000</v>
          </cell>
        </row>
        <row r="164">
          <cell r="A164">
            <v>6</v>
          </cell>
          <cell r="C164" t="str">
            <v>Harga Satuan Dasar Dump Truck</v>
          </cell>
          <cell r="E164" t="str">
            <v>RpE08</v>
          </cell>
          <cell r="F164">
            <v>1</v>
          </cell>
          <cell r="G164" t="str">
            <v>Jam</v>
          </cell>
          <cell r="H164">
            <v>82267.929999999993</v>
          </cell>
        </row>
        <row r="167">
          <cell r="A167" t="str">
            <v>II.</v>
          </cell>
          <cell r="C167" t="str">
            <v>URUTAN KERJA</v>
          </cell>
        </row>
        <row r="169">
          <cell r="A169">
            <v>1</v>
          </cell>
          <cell r="C169" t="str">
            <v>Excavator sekaligus memuat batu kali</v>
          </cell>
        </row>
        <row r="170">
          <cell r="C170" t="str">
            <v>hasil galian ke dalam Dump Truck</v>
          </cell>
        </row>
        <row r="171">
          <cell r="A171">
            <v>2</v>
          </cell>
          <cell r="C171" t="str">
            <v>Dump Truck mengangkut batu kali ke</v>
          </cell>
        </row>
        <row r="172">
          <cell r="C172" t="str">
            <v>lokasi pekerjaan</v>
          </cell>
        </row>
        <row r="174">
          <cell r="A174" t="str">
            <v>III.</v>
          </cell>
          <cell r="C174" t="str">
            <v>PERHITUNGAN</v>
          </cell>
        </row>
        <row r="176">
          <cell r="C176" t="str">
            <v>EXCAVATOR</v>
          </cell>
          <cell r="E176" t="str">
            <v>(E10)</v>
          </cell>
        </row>
        <row r="177">
          <cell r="C177" t="str">
            <v>Kapasitas Bucket</v>
          </cell>
          <cell r="E177" t="str">
            <v>V</v>
          </cell>
          <cell r="F177">
            <v>0.5</v>
          </cell>
          <cell r="G177" t="str">
            <v>M3</v>
          </cell>
        </row>
        <row r="178">
          <cell r="C178" t="str">
            <v>Faktor Bucket</v>
          </cell>
          <cell r="E178" t="str">
            <v>Fb</v>
          </cell>
          <cell r="F178">
            <v>0.9</v>
          </cell>
          <cell r="G178" t="str">
            <v>-</v>
          </cell>
        </row>
        <row r="179">
          <cell r="C179" t="str">
            <v>Faktor  Efisiensi alat</v>
          </cell>
          <cell r="E179" t="str">
            <v>Fa</v>
          </cell>
          <cell r="F179">
            <v>0.83</v>
          </cell>
          <cell r="G179" t="str">
            <v>-</v>
          </cell>
        </row>
        <row r="180">
          <cell r="C180" t="str">
            <v>Waktu siklus</v>
          </cell>
          <cell r="E180" t="str">
            <v>Ts1</v>
          </cell>
        </row>
        <row r="181">
          <cell r="C181" t="str">
            <v>- Menggali / memuat</v>
          </cell>
          <cell r="E181" t="str">
            <v>T1</v>
          </cell>
          <cell r="F181">
            <v>0.45</v>
          </cell>
          <cell r="G181" t="str">
            <v>menit</v>
          </cell>
        </row>
        <row r="182">
          <cell r="C182" t="str">
            <v>- Lain-lain</v>
          </cell>
          <cell r="E182" t="str">
            <v>T2</v>
          </cell>
          <cell r="F182">
            <v>0.25</v>
          </cell>
          <cell r="G182" t="str">
            <v>menit</v>
          </cell>
        </row>
        <row r="183">
          <cell r="E183" t="str">
            <v>Ts1</v>
          </cell>
          <cell r="F183">
            <v>0.7</v>
          </cell>
          <cell r="G183" t="str">
            <v>menit</v>
          </cell>
        </row>
        <row r="184">
          <cell r="C184" t="str">
            <v>Kap. Prod. / jam =</v>
          </cell>
        </row>
        <row r="185">
          <cell r="C185" t="str">
            <v>V  x Fb x Fa x 60</v>
          </cell>
          <cell r="E185" t="str">
            <v>Q1</v>
          </cell>
          <cell r="F185">
            <v>32.014299999999999</v>
          </cell>
          <cell r="G185" t="str">
            <v>M3 / Jam</v>
          </cell>
        </row>
        <row r="186">
          <cell r="C186" t="str">
            <v>Ts1</v>
          </cell>
        </row>
        <row r="191">
          <cell r="C191" t="str">
            <v>DUMP TRUCK</v>
          </cell>
          <cell r="E191" t="str">
            <v>(E08)</v>
          </cell>
        </row>
        <row r="192">
          <cell r="C192" t="str">
            <v>Kapasitas bak</v>
          </cell>
          <cell r="E192" t="str">
            <v>V</v>
          </cell>
          <cell r="F192">
            <v>4</v>
          </cell>
          <cell r="G192" t="str">
            <v>M3</v>
          </cell>
        </row>
        <row r="193">
          <cell r="C193" t="str">
            <v>Faktor  efisiensi alat</v>
          </cell>
          <cell r="E193" t="str">
            <v>Fa</v>
          </cell>
          <cell r="F193">
            <v>0.83</v>
          </cell>
          <cell r="G193" t="str">
            <v>-</v>
          </cell>
        </row>
        <row r="194">
          <cell r="C194" t="str">
            <v>Kecepatan rata-rata bermuatan</v>
          </cell>
          <cell r="E194" t="str">
            <v>v1</v>
          </cell>
          <cell r="F194">
            <v>40</v>
          </cell>
          <cell r="G194" t="str">
            <v>KM/Jam</v>
          </cell>
        </row>
        <row r="195">
          <cell r="C195" t="str">
            <v>Kecepatan rata-rata kosong</v>
          </cell>
          <cell r="E195" t="str">
            <v>v2</v>
          </cell>
          <cell r="F195">
            <v>60</v>
          </cell>
          <cell r="G195" t="str">
            <v>KM/Jam</v>
          </cell>
        </row>
        <row r="196">
          <cell r="C196" t="str">
            <v>Waktu  siklus</v>
          </cell>
          <cell r="E196" t="str">
            <v>Ts2</v>
          </cell>
        </row>
        <row r="197">
          <cell r="C197" t="str">
            <v>- Waktu tempuh isi  =  (L/v1) x 60</v>
          </cell>
          <cell r="E197" t="str">
            <v>T1</v>
          </cell>
          <cell r="F197">
            <v>37.5</v>
          </cell>
          <cell r="G197" t="str">
            <v>menit</v>
          </cell>
        </row>
        <row r="198">
          <cell r="C198" t="str">
            <v>- Waktu tempuh kosong  =  (L/v2) x 60</v>
          </cell>
          <cell r="E198" t="str">
            <v>T2</v>
          </cell>
          <cell r="F198">
            <v>25</v>
          </cell>
          <cell r="G198" t="str">
            <v>menit</v>
          </cell>
        </row>
        <row r="199">
          <cell r="C199" t="str">
            <v>- Muat   =  (V/Q1) x 60</v>
          </cell>
          <cell r="E199" t="str">
            <v>T3</v>
          </cell>
          <cell r="F199">
            <v>7.4965999999999999</v>
          </cell>
          <cell r="G199" t="str">
            <v>menit</v>
          </cell>
        </row>
        <row r="200">
          <cell r="C200" t="str">
            <v>- Lain-lain</v>
          </cell>
          <cell r="E200" t="str">
            <v>T4</v>
          </cell>
          <cell r="F200">
            <v>1</v>
          </cell>
          <cell r="G200" t="str">
            <v>menit</v>
          </cell>
        </row>
        <row r="201">
          <cell r="E201" t="str">
            <v>Ts2</v>
          </cell>
          <cell r="F201">
            <v>70.996600000000001</v>
          </cell>
          <cell r="G201" t="str">
            <v>menit</v>
          </cell>
        </row>
        <row r="203">
          <cell r="H203" t="str">
            <v xml:space="preserve">Bersambung  </v>
          </cell>
        </row>
        <row r="204">
          <cell r="A204" t="str">
            <v>ANALISA HARGA DASAR SATUAN BAHAN</v>
          </cell>
        </row>
        <row r="206">
          <cell r="A206" t="str">
            <v>Jenis</v>
          </cell>
          <cell r="B206" t="str">
            <v>:</v>
          </cell>
          <cell r="C206" t="str">
            <v>M06  -  Batu Belah</v>
          </cell>
        </row>
        <row r="207">
          <cell r="A207" t="str">
            <v>Lokasi</v>
          </cell>
          <cell r="B207" t="str">
            <v>:</v>
          </cell>
          <cell r="C207" t="str">
            <v>Quarry</v>
          </cell>
        </row>
        <row r="208">
          <cell r="A208" t="str">
            <v>Tujuan</v>
          </cell>
          <cell r="B208" t="str">
            <v>:</v>
          </cell>
          <cell r="C208" t="str">
            <v>Lokasi Pekerjaan</v>
          </cell>
        </row>
        <row r="210">
          <cell r="H210" t="str">
            <v xml:space="preserve">Lanjutan  </v>
          </cell>
        </row>
        <row r="211">
          <cell r="H211" t="str">
            <v>HARGA</v>
          </cell>
        </row>
        <row r="212">
          <cell r="A212" t="str">
            <v>No.</v>
          </cell>
          <cell r="B212" t="str">
            <v>URAIAN</v>
          </cell>
          <cell r="E212" t="str">
            <v>KODE</v>
          </cell>
          <cell r="F212" t="str">
            <v>KOEF.</v>
          </cell>
          <cell r="G212" t="str">
            <v>SATUAN</v>
          </cell>
          <cell r="H212" t="str">
            <v>SATUAN</v>
          </cell>
        </row>
        <row r="213">
          <cell r="H213" t="str">
            <v>(Rp.)</v>
          </cell>
        </row>
        <row r="215">
          <cell r="C215" t="str">
            <v>Kapasitas Produksi / Jam   =</v>
          </cell>
        </row>
        <row r="216">
          <cell r="C216" t="str">
            <v>V x Fa x 60</v>
          </cell>
          <cell r="E216" t="str">
            <v>Q2</v>
          </cell>
          <cell r="F216">
            <v>2.8058000000000001</v>
          </cell>
          <cell r="G216" t="str">
            <v>M3 / Jam</v>
          </cell>
        </row>
        <row r="217">
          <cell r="C217" t="str">
            <v>Ts2</v>
          </cell>
        </row>
        <row r="219">
          <cell r="C219" t="str">
            <v>Biaya Dump Truck / M3  =  (1 : Q2) x RpE08</v>
          </cell>
          <cell r="E219" t="str">
            <v>Rp1</v>
          </cell>
          <cell r="F219">
            <v>29320.6679</v>
          </cell>
          <cell r="G219" t="str">
            <v>Rupiah</v>
          </cell>
        </row>
        <row r="222">
          <cell r="A222" t="str">
            <v>IV.</v>
          </cell>
          <cell r="C222" t="str">
            <v>HARGA SATUAN DASAR BAHAN</v>
          </cell>
        </row>
        <row r="223">
          <cell r="C223" t="str">
            <v>DI LOKASI PEKERJAAN</v>
          </cell>
        </row>
        <row r="225">
          <cell r="C225" t="str">
            <v>Harga Satuan Dasar Batu kali   =</v>
          </cell>
        </row>
        <row r="227">
          <cell r="C227" t="str">
            <v>(  RpM02  +  Rp1 )</v>
          </cell>
          <cell r="E227" t="str">
            <v>M02</v>
          </cell>
          <cell r="F227">
            <v>54320.6679</v>
          </cell>
          <cell r="G227" t="str">
            <v>Rupiah</v>
          </cell>
        </row>
        <row r="229">
          <cell r="C229" t="str">
            <v>Dibulatkan   :</v>
          </cell>
          <cell r="E229" t="str">
            <v>M02</v>
          </cell>
          <cell r="F229">
            <v>54300</v>
          </cell>
          <cell r="G229" t="str">
            <v>Rupiah</v>
          </cell>
        </row>
        <row r="260">
          <cell r="A260" t="str">
            <v>ANALISA HARGA DASAR SATUAN BAHAN</v>
          </cell>
        </row>
        <row r="262">
          <cell r="A262" t="str">
            <v>Jenis</v>
          </cell>
          <cell r="B262" t="str">
            <v>:</v>
          </cell>
          <cell r="C262" t="str">
            <v>M03  -  Agregate Kasar, untuk Base.</v>
          </cell>
        </row>
        <row r="263">
          <cell r="A263" t="str">
            <v>Lokasi</v>
          </cell>
          <cell r="B263" t="str">
            <v>:</v>
          </cell>
          <cell r="C263" t="str">
            <v>Quarry</v>
          </cell>
        </row>
        <row r="264">
          <cell r="A264" t="str">
            <v>Tujuan</v>
          </cell>
          <cell r="B264" t="str">
            <v>:</v>
          </cell>
          <cell r="C264" t="str">
            <v>Base Camp.</v>
          </cell>
        </row>
        <row r="266">
          <cell r="H266" t="str">
            <v>HARGA</v>
          </cell>
        </row>
        <row r="267">
          <cell r="A267" t="str">
            <v>No.</v>
          </cell>
          <cell r="B267" t="str">
            <v>URAIAN</v>
          </cell>
          <cell r="E267" t="str">
            <v>KODE</v>
          </cell>
          <cell r="F267" t="str">
            <v>KOEF.</v>
          </cell>
          <cell r="G267" t="str">
            <v>SATUAN</v>
          </cell>
          <cell r="H267" t="str">
            <v>SATUAN</v>
          </cell>
        </row>
        <row r="268">
          <cell r="H268" t="str">
            <v>(Rp.)</v>
          </cell>
        </row>
        <row r="270">
          <cell r="A270" t="str">
            <v>I.</v>
          </cell>
          <cell r="C270" t="str">
            <v>ASUMSI</v>
          </cell>
        </row>
        <row r="271">
          <cell r="A271">
            <v>1</v>
          </cell>
          <cell r="C271" t="str">
            <v>Menggunakan alat berat</v>
          </cell>
        </row>
        <row r="272">
          <cell r="A272">
            <v>2</v>
          </cell>
          <cell r="C272" t="str">
            <v>Kondisi Jalan   :  sedang / baik</v>
          </cell>
        </row>
        <row r="273">
          <cell r="A273">
            <v>3</v>
          </cell>
          <cell r="C273" t="str">
            <v>Jarak Quarry ke Base Camp.</v>
          </cell>
          <cell r="E273" t="str">
            <v>L</v>
          </cell>
          <cell r="F273">
            <v>0</v>
          </cell>
          <cell r="G273" t="str">
            <v>Km</v>
          </cell>
        </row>
        <row r="274">
          <cell r="A274">
            <v>4</v>
          </cell>
          <cell r="C274" t="str">
            <v>Harga satuan Agregate di Quarry</v>
          </cell>
          <cell r="E274" t="str">
            <v>RpM03</v>
          </cell>
          <cell r="F274">
            <v>1</v>
          </cell>
          <cell r="G274" t="str">
            <v>M3</v>
          </cell>
          <cell r="H274">
            <v>0</v>
          </cell>
        </row>
        <row r="275">
          <cell r="A275">
            <v>5</v>
          </cell>
          <cell r="C275" t="str">
            <v>Harga Satuan Dasar Dump Truck</v>
          </cell>
          <cell r="E275" t="str">
            <v>RpE08</v>
          </cell>
          <cell r="F275">
            <v>1</v>
          </cell>
          <cell r="G275" t="str">
            <v>Jam</v>
          </cell>
          <cell r="H275">
            <v>82267.929999999993</v>
          </cell>
        </row>
        <row r="278">
          <cell r="A278" t="str">
            <v>II.</v>
          </cell>
          <cell r="C278" t="str">
            <v>URUTAN KERJA</v>
          </cell>
        </row>
        <row r="280">
          <cell r="A280">
            <v>1</v>
          </cell>
          <cell r="C280" t="str">
            <v>Excavator sekaligus memuat Agregate</v>
          </cell>
        </row>
        <row r="281">
          <cell r="C281" t="str">
            <v>ke dalam Dump Truck</v>
          </cell>
        </row>
        <row r="282">
          <cell r="A282">
            <v>2</v>
          </cell>
          <cell r="C282" t="str">
            <v>Dump Truck mengangkut Agregate</v>
          </cell>
        </row>
        <row r="283">
          <cell r="C283" t="str">
            <v>ke lokasi pekerjaan</v>
          </cell>
        </row>
        <row r="285">
          <cell r="A285" t="str">
            <v>III.</v>
          </cell>
          <cell r="C285" t="str">
            <v>PERHITUNGAN</v>
          </cell>
        </row>
        <row r="287">
          <cell r="C287" t="str">
            <v>EXCAVATOR</v>
          </cell>
          <cell r="E287" t="str">
            <v>(E10)</v>
          </cell>
        </row>
        <row r="288">
          <cell r="C288" t="str">
            <v>Kapasitas Bucket</v>
          </cell>
          <cell r="E288" t="str">
            <v>V</v>
          </cell>
          <cell r="F288">
            <v>0.5</v>
          </cell>
          <cell r="G288" t="str">
            <v>M3</v>
          </cell>
        </row>
        <row r="289">
          <cell r="C289" t="str">
            <v>Faktor Bucket</v>
          </cell>
          <cell r="E289" t="str">
            <v>Fb</v>
          </cell>
          <cell r="F289">
            <v>0.9</v>
          </cell>
          <cell r="G289" t="str">
            <v>-</v>
          </cell>
        </row>
        <row r="290">
          <cell r="C290" t="str">
            <v>Faktor  Efisiensi alat</v>
          </cell>
          <cell r="E290" t="str">
            <v>Fa</v>
          </cell>
          <cell r="F290">
            <v>0.83</v>
          </cell>
          <cell r="G290" t="str">
            <v>-</v>
          </cell>
        </row>
        <row r="291">
          <cell r="C291" t="str">
            <v>Waktu siklus</v>
          </cell>
          <cell r="E291" t="str">
            <v>Ts1</v>
          </cell>
        </row>
        <row r="292">
          <cell r="C292" t="str">
            <v>- Menggali / memuat</v>
          </cell>
          <cell r="E292" t="str">
            <v>T1</v>
          </cell>
          <cell r="F292">
            <v>0.45</v>
          </cell>
          <cell r="G292" t="str">
            <v>menit</v>
          </cell>
        </row>
        <row r="293">
          <cell r="C293" t="str">
            <v>- Lain-lain</v>
          </cell>
          <cell r="E293" t="str">
            <v>T2</v>
          </cell>
          <cell r="F293">
            <v>0.25</v>
          </cell>
          <cell r="G293" t="str">
            <v>menit</v>
          </cell>
        </row>
        <row r="294">
          <cell r="E294" t="str">
            <v>Ts1</v>
          </cell>
          <cell r="F294">
            <v>0.7</v>
          </cell>
          <cell r="G294" t="str">
            <v>menit</v>
          </cell>
        </row>
        <row r="295">
          <cell r="C295" t="str">
            <v>Kap. Prod. / jam =</v>
          </cell>
        </row>
        <row r="296">
          <cell r="C296" t="str">
            <v>V  x Fb x Fa x 60</v>
          </cell>
          <cell r="E296" t="str">
            <v>Q1</v>
          </cell>
          <cell r="F296">
            <v>32.014299999999999</v>
          </cell>
          <cell r="G296" t="str">
            <v>M3 / Jam</v>
          </cell>
        </row>
        <row r="297">
          <cell r="C297" t="str">
            <v>Ts1</v>
          </cell>
        </row>
        <row r="302">
          <cell r="C302" t="str">
            <v>DUMP TRUCK</v>
          </cell>
          <cell r="E302" t="str">
            <v>(E08)</v>
          </cell>
        </row>
        <row r="303">
          <cell r="C303" t="str">
            <v>Kapasitas bak</v>
          </cell>
          <cell r="E303" t="str">
            <v>V</v>
          </cell>
          <cell r="F303">
            <v>4</v>
          </cell>
          <cell r="G303" t="str">
            <v>M3</v>
          </cell>
        </row>
        <row r="304">
          <cell r="C304" t="str">
            <v>Faktor  efisiensi alat</v>
          </cell>
          <cell r="E304" t="str">
            <v>Fa</v>
          </cell>
          <cell r="F304">
            <v>0.83</v>
          </cell>
          <cell r="G304" t="str">
            <v>-</v>
          </cell>
        </row>
        <row r="305">
          <cell r="C305" t="str">
            <v>Kecepatan rata-rata bermuatan</v>
          </cell>
          <cell r="E305" t="str">
            <v>v1</v>
          </cell>
          <cell r="F305">
            <v>40</v>
          </cell>
          <cell r="G305" t="str">
            <v>KM/Jam</v>
          </cell>
        </row>
        <row r="306">
          <cell r="C306" t="str">
            <v>Kecepatan rata-rata kosong</v>
          </cell>
          <cell r="E306" t="str">
            <v>v2</v>
          </cell>
          <cell r="F306">
            <v>60</v>
          </cell>
          <cell r="G306" t="str">
            <v>KM/Jam</v>
          </cell>
        </row>
        <row r="307">
          <cell r="C307" t="str">
            <v>Waktu  siklus</v>
          </cell>
          <cell r="E307" t="str">
            <v>Ts2</v>
          </cell>
        </row>
        <row r="308">
          <cell r="C308" t="str">
            <v>- Waktu tempuh isi  =  (L/v1) x 60</v>
          </cell>
          <cell r="E308" t="str">
            <v>T1</v>
          </cell>
          <cell r="F308">
            <v>0</v>
          </cell>
          <cell r="G308" t="str">
            <v>menit</v>
          </cell>
        </row>
        <row r="309">
          <cell r="C309" t="str">
            <v>- Waktu tempuh kosong  =  (L/v2) x 60</v>
          </cell>
          <cell r="E309" t="str">
            <v>T2</v>
          </cell>
          <cell r="F309">
            <v>0</v>
          </cell>
          <cell r="G309" t="str">
            <v>menit</v>
          </cell>
        </row>
        <row r="310">
          <cell r="C310" t="str">
            <v>- Muat   =  (V/Q1) x 60</v>
          </cell>
          <cell r="E310" t="str">
            <v>T3</v>
          </cell>
          <cell r="F310">
            <v>7.4965999999999999</v>
          </cell>
          <cell r="G310" t="str">
            <v>menit</v>
          </cell>
        </row>
        <row r="311">
          <cell r="C311" t="str">
            <v>- Lain-lain</v>
          </cell>
          <cell r="E311" t="str">
            <v>T4</v>
          </cell>
          <cell r="F311">
            <v>1</v>
          </cell>
          <cell r="G311" t="str">
            <v>menit</v>
          </cell>
        </row>
        <row r="312">
          <cell r="E312" t="str">
            <v>Ts2</v>
          </cell>
          <cell r="F312">
            <v>8.4966000000000008</v>
          </cell>
          <cell r="G312" t="str">
            <v>menit</v>
          </cell>
        </row>
        <row r="314">
          <cell r="H314" t="str">
            <v xml:space="preserve">Bersambung  </v>
          </cell>
        </row>
        <row r="315">
          <cell r="A315" t="str">
            <v>ANALISA HARGA DASAR SATUAN BAHAN</v>
          </cell>
        </row>
        <row r="317">
          <cell r="A317" t="str">
            <v>Jenis</v>
          </cell>
          <cell r="B317" t="str">
            <v>:</v>
          </cell>
          <cell r="C317" t="str">
            <v>M03  -  Agregate Kasar, untuk Base.</v>
          </cell>
        </row>
        <row r="318">
          <cell r="A318" t="str">
            <v>Lokasi</v>
          </cell>
          <cell r="B318" t="str">
            <v>:</v>
          </cell>
          <cell r="C318" t="str">
            <v>Quarry</v>
          </cell>
        </row>
        <row r="319">
          <cell r="A319" t="str">
            <v>Tujuan</v>
          </cell>
          <cell r="B319" t="str">
            <v>:</v>
          </cell>
          <cell r="C319" t="str">
            <v>Base Camp.</v>
          </cell>
        </row>
        <row r="321">
          <cell r="H321" t="str">
            <v xml:space="preserve">Lanjutan  </v>
          </cell>
        </row>
        <row r="322">
          <cell r="H322" t="str">
            <v>HARGA</v>
          </cell>
        </row>
        <row r="323">
          <cell r="A323" t="str">
            <v>No.</v>
          </cell>
          <cell r="B323" t="str">
            <v>URAIAN</v>
          </cell>
          <cell r="E323" t="str">
            <v>KODE</v>
          </cell>
          <cell r="F323" t="str">
            <v>KOEF.</v>
          </cell>
          <cell r="G323" t="str">
            <v>SATUAN</v>
          </cell>
          <cell r="H323" t="str">
            <v>SATUAN</v>
          </cell>
        </row>
        <row r="324">
          <cell r="H324" t="str">
            <v>(Rp.)</v>
          </cell>
        </row>
        <row r="326">
          <cell r="C326" t="str">
            <v>Kapasitas Produksi / Jam   =</v>
          </cell>
        </row>
        <row r="327">
          <cell r="C327" t="str">
            <v>V x Fa x 60</v>
          </cell>
          <cell r="E327" t="str">
            <v>Q2</v>
          </cell>
          <cell r="F327">
            <v>23.444700000000001</v>
          </cell>
          <cell r="G327" t="str">
            <v>M3 / Jam</v>
          </cell>
        </row>
        <row r="328">
          <cell r="C328" t="str">
            <v>Ts2</v>
          </cell>
        </row>
        <row r="330">
          <cell r="C330" t="str">
            <v>Biaya Dump Truck / M3  =  (1 : Q2) x RpE08</v>
          </cell>
          <cell r="E330" t="str">
            <v>Rp1</v>
          </cell>
          <cell r="F330">
            <v>3509.0203999999999</v>
          </cell>
          <cell r="G330" t="str">
            <v>Rupiah</v>
          </cell>
        </row>
        <row r="333">
          <cell r="A333" t="str">
            <v>IV.</v>
          </cell>
          <cell r="C333" t="str">
            <v>HARGA SATUAN DASAR BAHAN</v>
          </cell>
        </row>
        <row r="334">
          <cell r="C334" t="str">
            <v>DI LOKASI PEKERJAAN</v>
          </cell>
        </row>
        <row r="336">
          <cell r="C336" t="str">
            <v>Harga Satuan Dasar  Agregate  =</v>
          </cell>
        </row>
        <row r="338">
          <cell r="C338" t="str">
            <v>(  RpM03  +  Rp1    )</v>
          </cell>
          <cell r="E338" t="str">
            <v>M03</v>
          </cell>
          <cell r="F338">
            <v>3509.0203999999999</v>
          </cell>
          <cell r="G338" t="str">
            <v>Rupiah</v>
          </cell>
        </row>
        <row r="340">
          <cell r="C340" t="str">
            <v>Dibulatkan   :</v>
          </cell>
          <cell r="E340" t="str">
            <v>M03</v>
          </cell>
          <cell r="F340">
            <v>3500</v>
          </cell>
          <cell r="G340" t="str">
            <v>Rupiah</v>
          </cell>
        </row>
        <row r="371">
          <cell r="A371" t="str">
            <v>ANALISA HARGA DASAR SATUAN BAHAN</v>
          </cell>
        </row>
        <row r="373">
          <cell r="A373" t="str">
            <v>Jenis</v>
          </cell>
          <cell r="B373" t="str">
            <v>:</v>
          </cell>
          <cell r="C373" t="str">
            <v>M03a  -  Agregate Kasar, untuk Lapen</v>
          </cell>
        </row>
        <row r="374">
          <cell r="A374" t="str">
            <v>Lokasi</v>
          </cell>
          <cell r="B374" t="str">
            <v>:</v>
          </cell>
          <cell r="C374" t="str">
            <v>Quarry</v>
          </cell>
        </row>
        <row r="375">
          <cell r="A375" t="str">
            <v>Tujuan</v>
          </cell>
          <cell r="B375" t="str">
            <v>:</v>
          </cell>
          <cell r="C375" t="str">
            <v>Base Camp.</v>
          </cell>
        </row>
        <row r="377">
          <cell r="H377" t="str">
            <v>HARGA</v>
          </cell>
        </row>
        <row r="378">
          <cell r="A378" t="str">
            <v>No.</v>
          </cell>
          <cell r="B378" t="str">
            <v>URAIAN</v>
          </cell>
          <cell r="E378" t="str">
            <v>KODE</v>
          </cell>
          <cell r="F378" t="str">
            <v>KOEF.</v>
          </cell>
          <cell r="G378" t="str">
            <v>SATUAN</v>
          </cell>
          <cell r="H378" t="str">
            <v>SATUAN</v>
          </cell>
        </row>
        <row r="379">
          <cell r="H379" t="str">
            <v>(Rp.)</v>
          </cell>
        </row>
        <row r="381">
          <cell r="A381" t="str">
            <v>I.</v>
          </cell>
          <cell r="C381" t="str">
            <v>ASUMSI</v>
          </cell>
        </row>
        <row r="382">
          <cell r="A382">
            <v>1</v>
          </cell>
          <cell r="C382" t="str">
            <v>Menggunakan alat berat</v>
          </cell>
        </row>
        <row r="383">
          <cell r="A383">
            <v>2</v>
          </cell>
          <cell r="C383" t="str">
            <v>Kondisi Jalan   :  sedang / baik</v>
          </cell>
        </row>
        <row r="384">
          <cell r="A384">
            <v>3</v>
          </cell>
          <cell r="C384" t="str">
            <v>Jarak Quarry ke Base Camp.</v>
          </cell>
          <cell r="E384" t="str">
            <v>L</v>
          </cell>
          <cell r="F384">
            <v>50</v>
          </cell>
          <cell r="G384" t="str">
            <v>Km</v>
          </cell>
        </row>
        <row r="385">
          <cell r="A385">
            <v>4</v>
          </cell>
          <cell r="C385" t="str">
            <v>Harga satuan Agregate di Quarry</v>
          </cell>
          <cell r="E385" t="str">
            <v>RpM03a</v>
          </cell>
          <cell r="F385">
            <v>1</v>
          </cell>
          <cell r="G385" t="str">
            <v>M3</v>
          </cell>
          <cell r="H385">
            <v>65000</v>
          </cell>
        </row>
        <row r="386">
          <cell r="A386">
            <v>5</v>
          </cell>
          <cell r="C386" t="str">
            <v>Harga Satuan Dasar Dump Truck</v>
          </cell>
          <cell r="E386" t="str">
            <v>RpE08</v>
          </cell>
          <cell r="F386">
            <v>1</v>
          </cell>
          <cell r="G386" t="str">
            <v>Jam</v>
          </cell>
          <cell r="H386">
            <v>82267.929999999993</v>
          </cell>
        </row>
        <row r="389">
          <cell r="A389" t="str">
            <v>II.</v>
          </cell>
          <cell r="C389" t="str">
            <v>URUTAN KERJA</v>
          </cell>
        </row>
        <row r="391">
          <cell r="A391">
            <v>1</v>
          </cell>
          <cell r="C391" t="str">
            <v>Excavator sekaligus memuat Agregate</v>
          </cell>
        </row>
        <row r="392">
          <cell r="C392" t="str">
            <v>ke dalam Dump Truck</v>
          </cell>
        </row>
        <row r="393">
          <cell r="A393">
            <v>2</v>
          </cell>
          <cell r="C393" t="str">
            <v>Dump Truck mengangkut Agregate</v>
          </cell>
        </row>
        <row r="394">
          <cell r="C394" t="str">
            <v>ke lokasi pekerjaan</v>
          </cell>
        </row>
        <row r="396">
          <cell r="A396" t="str">
            <v>III.</v>
          </cell>
          <cell r="C396" t="str">
            <v>PERHITUNGAN</v>
          </cell>
        </row>
        <row r="398">
          <cell r="C398" t="str">
            <v>EXCAVATOR</v>
          </cell>
          <cell r="E398" t="str">
            <v>(E10)</v>
          </cell>
        </row>
        <row r="399">
          <cell r="C399" t="str">
            <v>Kapasitas Bucket</v>
          </cell>
          <cell r="E399" t="str">
            <v>V</v>
          </cell>
          <cell r="F399">
            <v>0.5</v>
          </cell>
          <cell r="G399" t="str">
            <v>M3</v>
          </cell>
        </row>
        <row r="400">
          <cell r="C400" t="str">
            <v>Faktor Bucket</v>
          </cell>
          <cell r="E400" t="str">
            <v>Fb</v>
          </cell>
          <cell r="F400">
            <v>0.9</v>
          </cell>
          <cell r="G400" t="str">
            <v>-</v>
          </cell>
        </row>
        <row r="401">
          <cell r="C401" t="str">
            <v>Faktor  Efisiensi alat</v>
          </cell>
          <cell r="E401" t="str">
            <v>Fa</v>
          </cell>
          <cell r="F401">
            <v>0.83</v>
          </cell>
          <cell r="G401" t="str">
            <v>-</v>
          </cell>
        </row>
        <row r="402">
          <cell r="C402" t="str">
            <v>Waktu siklus</v>
          </cell>
          <cell r="E402" t="str">
            <v>Ts1</v>
          </cell>
        </row>
        <row r="403">
          <cell r="C403" t="str">
            <v>- Menggali / memuat</v>
          </cell>
          <cell r="E403" t="str">
            <v>T1</v>
          </cell>
          <cell r="F403">
            <v>0.45</v>
          </cell>
          <cell r="G403" t="str">
            <v>menit</v>
          </cell>
        </row>
        <row r="404">
          <cell r="C404" t="str">
            <v>- Lain-lain</v>
          </cell>
          <cell r="E404" t="str">
            <v>T2</v>
          </cell>
          <cell r="F404">
            <v>0.25</v>
          </cell>
          <cell r="G404" t="str">
            <v>menit</v>
          </cell>
        </row>
        <row r="405">
          <cell r="E405" t="str">
            <v>Ts1</v>
          </cell>
          <cell r="F405">
            <v>0.7</v>
          </cell>
          <cell r="G405" t="str">
            <v>menit</v>
          </cell>
        </row>
        <row r="406">
          <cell r="C406" t="str">
            <v>Kap. Prod. / jam =</v>
          </cell>
        </row>
        <row r="407">
          <cell r="C407" t="str">
            <v>V  x Fb x Fa x 60</v>
          </cell>
          <cell r="E407" t="str">
            <v>Q1</v>
          </cell>
          <cell r="F407">
            <v>32.014299999999999</v>
          </cell>
          <cell r="G407" t="str">
            <v>M3 / Jam</v>
          </cell>
        </row>
        <row r="408">
          <cell r="C408" t="str">
            <v>Ts1</v>
          </cell>
        </row>
        <row r="413">
          <cell r="C413" t="str">
            <v>DUMP TRUCK</v>
          </cell>
          <cell r="E413" t="str">
            <v>(E08)</v>
          </cell>
        </row>
        <row r="414">
          <cell r="C414" t="str">
            <v>Kapasitas bak</v>
          </cell>
          <cell r="E414" t="str">
            <v>V</v>
          </cell>
          <cell r="F414">
            <v>4</v>
          </cell>
          <cell r="G414" t="str">
            <v>M3</v>
          </cell>
        </row>
        <row r="415">
          <cell r="C415" t="str">
            <v>Faktor  efisiensi alat</v>
          </cell>
          <cell r="E415" t="str">
            <v>Fa</v>
          </cell>
          <cell r="F415">
            <v>0.83</v>
          </cell>
          <cell r="G415" t="str">
            <v>-</v>
          </cell>
        </row>
        <row r="416">
          <cell r="C416" t="str">
            <v>Kecepatan rata-rata bermuatan</v>
          </cell>
          <cell r="E416" t="str">
            <v>v1</v>
          </cell>
          <cell r="F416">
            <v>40</v>
          </cell>
          <cell r="G416" t="str">
            <v>KM/Jam</v>
          </cell>
        </row>
        <row r="417">
          <cell r="C417" t="str">
            <v>Kecepatan rata-rata kosong</v>
          </cell>
          <cell r="E417" t="str">
            <v>v2</v>
          </cell>
          <cell r="F417">
            <v>60</v>
          </cell>
          <cell r="G417" t="str">
            <v>KM/Jam</v>
          </cell>
        </row>
        <row r="418">
          <cell r="C418" t="str">
            <v>Waktu  siklus</v>
          </cell>
          <cell r="E418" t="str">
            <v>Ts2</v>
          </cell>
        </row>
        <row r="419">
          <cell r="C419" t="str">
            <v>- Waktu tempuh isi  =  (L/v1) x 60</v>
          </cell>
          <cell r="E419" t="str">
            <v>T1</v>
          </cell>
          <cell r="F419">
            <v>75</v>
          </cell>
          <cell r="G419" t="str">
            <v>menit</v>
          </cell>
        </row>
        <row r="420">
          <cell r="C420" t="str">
            <v>- Waktu tempuh kosong  =  (L/v2) x 60</v>
          </cell>
          <cell r="E420" t="str">
            <v>T2</v>
          </cell>
          <cell r="F420">
            <v>50</v>
          </cell>
          <cell r="G420" t="str">
            <v>menit</v>
          </cell>
        </row>
        <row r="421">
          <cell r="C421" t="str">
            <v>- Muat   =  (V/Q1) x 60</v>
          </cell>
          <cell r="E421" t="str">
            <v>T3</v>
          </cell>
          <cell r="F421">
            <v>7.4965999999999999</v>
          </cell>
          <cell r="G421" t="str">
            <v>menit</v>
          </cell>
        </row>
        <row r="422">
          <cell r="C422" t="str">
            <v>- Lain-lain</v>
          </cell>
          <cell r="E422" t="str">
            <v>T4</v>
          </cell>
          <cell r="F422">
            <v>1</v>
          </cell>
          <cell r="G422" t="str">
            <v>menit</v>
          </cell>
        </row>
        <row r="423">
          <cell r="E423" t="str">
            <v>Ts2</v>
          </cell>
          <cell r="F423">
            <v>133.4966</v>
          </cell>
          <cell r="G423" t="str">
            <v>menit</v>
          </cell>
        </row>
        <row r="425">
          <cell r="H425" t="str">
            <v xml:space="preserve">Bersambung  </v>
          </cell>
        </row>
        <row r="426">
          <cell r="A426" t="str">
            <v>ANALISA HARGA DASAR SATUAN BAHAN</v>
          </cell>
        </row>
        <row r="428">
          <cell r="A428" t="str">
            <v>Jenis</v>
          </cell>
          <cell r="B428" t="str">
            <v>:</v>
          </cell>
          <cell r="C428" t="str">
            <v>M03a  -  Agregate Kasar, untuk Lapen</v>
          </cell>
        </row>
        <row r="429">
          <cell r="A429" t="str">
            <v>Lokasi</v>
          </cell>
          <cell r="B429" t="str">
            <v>:</v>
          </cell>
          <cell r="C429" t="str">
            <v>Quarry</v>
          </cell>
        </row>
        <row r="430">
          <cell r="A430" t="str">
            <v>Tujuan</v>
          </cell>
          <cell r="B430" t="str">
            <v>:</v>
          </cell>
          <cell r="C430" t="str">
            <v>Base Camp.</v>
          </cell>
        </row>
        <row r="432">
          <cell r="H432" t="str">
            <v xml:space="preserve">Lanjutan  </v>
          </cell>
        </row>
        <row r="433">
          <cell r="H433" t="str">
            <v>HARGA</v>
          </cell>
        </row>
        <row r="434">
          <cell r="A434" t="str">
            <v>No.</v>
          </cell>
          <cell r="B434" t="str">
            <v>URAIAN</v>
          </cell>
          <cell r="E434" t="str">
            <v>KODE</v>
          </cell>
          <cell r="F434" t="str">
            <v>KOEF.</v>
          </cell>
          <cell r="G434" t="str">
            <v>SATUAN</v>
          </cell>
          <cell r="H434" t="str">
            <v>SATUAN</v>
          </cell>
        </row>
        <row r="435">
          <cell r="H435" t="str">
            <v>(Rp.)</v>
          </cell>
        </row>
        <row r="437">
          <cell r="C437" t="str">
            <v>Kapasitas Produksi / Jam   =</v>
          </cell>
        </row>
        <row r="438">
          <cell r="C438" t="str">
            <v>V x Fa x 60</v>
          </cell>
          <cell r="E438" t="str">
            <v>Q2</v>
          </cell>
          <cell r="F438">
            <v>1.4922</v>
          </cell>
          <cell r="G438" t="str">
            <v>M3 / Jam</v>
          </cell>
        </row>
        <row r="439">
          <cell r="C439" t="str">
            <v>Ts2</v>
          </cell>
        </row>
        <row r="441">
          <cell r="C441" t="str">
            <v>Biaya Dump Truck / M3  =  (1 : Q2) x RpE08</v>
          </cell>
          <cell r="E441" t="str">
            <v>Rp1</v>
          </cell>
          <cell r="F441">
            <v>55131.972900000001</v>
          </cell>
          <cell r="G441" t="str">
            <v>Rupiah</v>
          </cell>
        </row>
        <row r="444">
          <cell r="A444" t="str">
            <v>IV.</v>
          </cell>
          <cell r="C444" t="str">
            <v>HARGA SATUAN DASAR BAHAN</v>
          </cell>
        </row>
        <row r="445">
          <cell r="C445" t="str">
            <v>DI LOKASI PEKERJAAN</v>
          </cell>
        </row>
        <row r="447">
          <cell r="C447" t="str">
            <v>Harga Satuan Dasar  Agregate  =</v>
          </cell>
        </row>
        <row r="449">
          <cell r="C449" t="str">
            <v>(  RpM03a  +  Rp1    )</v>
          </cell>
          <cell r="E449" t="str">
            <v>M03a</v>
          </cell>
          <cell r="F449">
            <v>120131.97289999999</v>
          </cell>
          <cell r="G449" t="str">
            <v>Rupiah</v>
          </cell>
        </row>
        <row r="451">
          <cell r="C451" t="str">
            <v>Dibulatkan   :</v>
          </cell>
          <cell r="E451" t="str">
            <v>M03a</v>
          </cell>
          <cell r="F451">
            <v>120100</v>
          </cell>
          <cell r="G451" t="str">
            <v>Rupiah</v>
          </cell>
        </row>
        <row r="482">
          <cell r="A482" t="str">
            <v>ANALISA HARGA DASAR SATUAN BAHAN</v>
          </cell>
        </row>
        <row r="484">
          <cell r="A484" t="str">
            <v>Jenis</v>
          </cell>
          <cell r="B484" t="str">
            <v>:</v>
          </cell>
          <cell r="C484" t="str">
            <v>M04  -  Agregate Halus, untuk Base.</v>
          </cell>
        </row>
        <row r="485">
          <cell r="A485" t="str">
            <v>Lokasi</v>
          </cell>
          <cell r="B485" t="str">
            <v>:</v>
          </cell>
          <cell r="C485" t="str">
            <v>Quarry</v>
          </cell>
        </row>
        <row r="486">
          <cell r="A486" t="str">
            <v>Tujuan</v>
          </cell>
          <cell r="B486" t="str">
            <v>:</v>
          </cell>
          <cell r="C486" t="str">
            <v>Base Camp.</v>
          </cell>
        </row>
        <row r="488">
          <cell r="H488" t="str">
            <v>HARGA</v>
          </cell>
        </row>
        <row r="489">
          <cell r="A489" t="str">
            <v>No.</v>
          </cell>
          <cell r="B489" t="str">
            <v>URAIAN</v>
          </cell>
          <cell r="E489" t="str">
            <v>KODE</v>
          </cell>
          <cell r="F489" t="str">
            <v>KOEF.</v>
          </cell>
          <cell r="G489" t="str">
            <v>SATUAN</v>
          </cell>
          <cell r="H489" t="str">
            <v>SATUAN</v>
          </cell>
        </row>
        <row r="490">
          <cell r="H490" t="str">
            <v>(Rp.)</v>
          </cell>
        </row>
        <row r="492">
          <cell r="A492" t="str">
            <v>I.</v>
          </cell>
          <cell r="C492" t="str">
            <v>ASUMSI</v>
          </cell>
        </row>
        <row r="493">
          <cell r="A493">
            <v>1</v>
          </cell>
          <cell r="C493" t="str">
            <v>Menggunakan alat berat</v>
          </cell>
        </row>
        <row r="494">
          <cell r="A494">
            <v>2</v>
          </cell>
          <cell r="C494" t="str">
            <v>Kondisi Jalan   :  sedang / baik</v>
          </cell>
        </row>
        <row r="495">
          <cell r="A495">
            <v>3</v>
          </cell>
          <cell r="C495" t="str">
            <v>Jarak Quarry ke Base Camp.</v>
          </cell>
          <cell r="E495" t="str">
            <v>L</v>
          </cell>
          <cell r="F495">
            <v>0</v>
          </cell>
          <cell r="G495" t="str">
            <v>Km</v>
          </cell>
        </row>
        <row r="496">
          <cell r="A496">
            <v>4</v>
          </cell>
          <cell r="C496" t="str">
            <v>Harga satuan Agregate di Quarry</v>
          </cell>
          <cell r="E496" t="str">
            <v>RpM04</v>
          </cell>
          <cell r="F496">
            <v>1</v>
          </cell>
          <cell r="G496" t="str">
            <v>M3</v>
          </cell>
          <cell r="H496">
            <v>0</v>
          </cell>
        </row>
        <row r="497">
          <cell r="A497">
            <v>5</v>
          </cell>
          <cell r="C497" t="str">
            <v>Harga Satuan Dasar Dump Truck</v>
          </cell>
          <cell r="E497" t="str">
            <v>RpE08</v>
          </cell>
          <cell r="F497">
            <v>1</v>
          </cell>
          <cell r="G497" t="str">
            <v>Jam</v>
          </cell>
          <cell r="H497">
            <v>82267.929999999993</v>
          </cell>
        </row>
        <row r="500">
          <cell r="A500" t="str">
            <v>II.</v>
          </cell>
          <cell r="C500" t="str">
            <v>URUTAN KERJA</v>
          </cell>
        </row>
        <row r="502">
          <cell r="A502">
            <v>1</v>
          </cell>
          <cell r="C502" t="str">
            <v>Excavator sekaligus memuat Agregate</v>
          </cell>
        </row>
        <row r="503">
          <cell r="C503" t="str">
            <v>ke dalam Dump Truck</v>
          </cell>
        </row>
        <row r="504">
          <cell r="A504">
            <v>2</v>
          </cell>
          <cell r="C504" t="str">
            <v>Dump Truck mengangkut Agregate</v>
          </cell>
        </row>
        <row r="505">
          <cell r="C505" t="str">
            <v>ke lokasi pekerjaan</v>
          </cell>
        </row>
        <row r="507">
          <cell r="A507" t="str">
            <v>III.</v>
          </cell>
          <cell r="C507" t="str">
            <v>PERHITUNGAN</v>
          </cell>
        </row>
        <row r="509">
          <cell r="C509" t="str">
            <v>EXCAVATOR</v>
          </cell>
          <cell r="E509" t="str">
            <v>(E10)</v>
          </cell>
        </row>
        <row r="510">
          <cell r="C510" t="str">
            <v>Kapasitas Bucket</v>
          </cell>
          <cell r="E510" t="str">
            <v>V</v>
          </cell>
          <cell r="F510">
            <v>0.5</v>
          </cell>
          <cell r="G510" t="str">
            <v>M3</v>
          </cell>
        </row>
        <row r="511">
          <cell r="C511" t="str">
            <v>Faktor Bucket</v>
          </cell>
          <cell r="E511" t="str">
            <v>Fb</v>
          </cell>
          <cell r="F511">
            <v>0.9</v>
          </cell>
          <cell r="G511" t="str">
            <v>-</v>
          </cell>
        </row>
        <row r="512">
          <cell r="C512" t="str">
            <v>Faktor  Efisiensi alat</v>
          </cell>
          <cell r="E512" t="str">
            <v>Fa</v>
          </cell>
          <cell r="F512">
            <v>0.83</v>
          </cell>
          <cell r="G512" t="str">
            <v>-</v>
          </cell>
        </row>
        <row r="513">
          <cell r="C513" t="str">
            <v>Waktu siklus</v>
          </cell>
          <cell r="E513" t="str">
            <v>Ts1</v>
          </cell>
        </row>
        <row r="514">
          <cell r="C514" t="str">
            <v>- Menggali / memuat</v>
          </cell>
          <cell r="E514" t="str">
            <v>T1</v>
          </cell>
          <cell r="F514">
            <v>0.45</v>
          </cell>
          <cell r="G514" t="str">
            <v>menit</v>
          </cell>
        </row>
        <row r="515">
          <cell r="C515" t="str">
            <v>- Lain-lain</v>
          </cell>
          <cell r="E515" t="str">
            <v>T2</v>
          </cell>
          <cell r="F515">
            <v>0.25</v>
          </cell>
          <cell r="G515" t="str">
            <v>menit</v>
          </cell>
        </row>
        <row r="516">
          <cell r="E516" t="str">
            <v>Ts1</v>
          </cell>
          <cell r="F516">
            <v>0.7</v>
          </cell>
          <cell r="G516" t="str">
            <v>menit</v>
          </cell>
        </row>
        <row r="517">
          <cell r="C517" t="str">
            <v>Kap. Prod. / jam =</v>
          </cell>
        </row>
        <row r="518">
          <cell r="C518" t="str">
            <v>V  x Fb x Fa x 60</v>
          </cell>
          <cell r="E518" t="str">
            <v>Q1</v>
          </cell>
          <cell r="F518">
            <v>32.014299999999999</v>
          </cell>
          <cell r="G518" t="str">
            <v>M3 / Jam</v>
          </cell>
        </row>
        <row r="519">
          <cell r="C519" t="str">
            <v>Ts1</v>
          </cell>
        </row>
        <row r="524">
          <cell r="C524" t="str">
            <v>DUMP TRUCK</v>
          </cell>
          <cell r="E524" t="str">
            <v>(E08)</v>
          </cell>
        </row>
        <row r="525">
          <cell r="C525" t="str">
            <v>Kapasitas bak</v>
          </cell>
          <cell r="E525" t="str">
            <v>V</v>
          </cell>
          <cell r="F525">
            <v>4</v>
          </cell>
          <cell r="G525" t="str">
            <v>M3</v>
          </cell>
        </row>
        <row r="526">
          <cell r="C526" t="str">
            <v>Faktor  efisiensi alat</v>
          </cell>
          <cell r="E526" t="str">
            <v>Fa</v>
          </cell>
          <cell r="F526">
            <v>0.83</v>
          </cell>
          <cell r="G526" t="str">
            <v>-</v>
          </cell>
        </row>
        <row r="527">
          <cell r="C527" t="str">
            <v>Kecepatan rata-rata bermuatan</v>
          </cell>
          <cell r="E527" t="str">
            <v>v1</v>
          </cell>
          <cell r="F527">
            <v>40</v>
          </cell>
          <cell r="G527" t="str">
            <v>KM/Jam</v>
          </cell>
        </row>
        <row r="528">
          <cell r="C528" t="str">
            <v>Kecepatan rata-rata kosong</v>
          </cell>
          <cell r="E528" t="str">
            <v>v2</v>
          </cell>
          <cell r="F528">
            <v>60</v>
          </cell>
          <cell r="G528" t="str">
            <v>KM/Jam</v>
          </cell>
        </row>
        <row r="529">
          <cell r="C529" t="str">
            <v>Waktu  siklus</v>
          </cell>
          <cell r="E529" t="str">
            <v>Ts2</v>
          </cell>
        </row>
        <row r="530">
          <cell r="C530" t="str">
            <v>- Waktu tempuh isi  =  (L/v1) x 60</v>
          </cell>
          <cell r="E530" t="str">
            <v>T1</v>
          </cell>
          <cell r="F530">
            <v>0</v>
          </cell>
          <cell r="G530" t="str">
            <v>menit</v>
          </cell>
        </row>
        <row r="531">
          <cell r="C531" t="str">
            <v>- Waktu tempuh kosong  =  (L/v2) x 60</v>
          </cell>
          <cell r="E531" t="str">
            <v>T2</v>
          </cell>
          <cell r="F531">
            <v>0</v>
          </cell>
          <cell r="G531" t="str">
            <v>menit</v>
          </cell>
        </row>
        <row r="532">
          <cell r="C532" t="str">
            <v>- Muat   =  (V/Q1) x 60</v>
          </cell>
          <cell r="E532" t="str">
            <v>T3</v>
          </cell>
          <cell r="F532">
            <v>7.4965999999999999</v>
          </cell>
          <cell r="G532" t="str">
            <v>menit</v>
          </cell>
        </row>
        <row r="533">
          <cell r="C533" t="str">
            <v>- Lain-lain</v>
          </cell>
          <cell r="E533" t="str">
            <v>T4</v>
          </cell>
          <cell r="F533">
            <v>1</v>
          </cell>
          <cell r="G533" t="str">
            <v>menit</v>
          </cell>
        </row>
        <row r="534">
          <cell r="E534" t="str">
            <v>Ts2</v>
          </cell>
          <cell r="F534">
            <v>8.4966000000000008</v>
          </cell>
          <cell r="G534" t="str">
            <v>menit</v>
          </cell>
        </row>
        <row r="536">
          <cell r="H536" t="str">
            <v xml:space="preserve">Bersambung  </v>
          </cell>
        </row>
        <row r="537">
          <cell r="A537" t="str">
            <v>ANALISA HARGA DASAR SATUAN BAHAN</v>
          </cell>
        </row>
        <row r="539">
          <cell r="A539" t="str">
            <v>Jenis</v>
          </cell>
          <cell r="B539" t="str">
            <v>:</v>
          </cell>
          <cell r="C539" t="str">
            <v>M04  -  Agregate Halus, untuk Base.</v>
          </cell>
        </row>
        <row r="540">
          <cell r="A540" t="str">
            <v>Lokasi</v>
          </cell>
          <cell r="B540" t="str">
            <v>:</v>
          </cell>
          <cell r="C540" t="str">
            <v>Quarry</v>
          </cell>
        </row>
        <row r="541">
          <cell r="A541" t="str">
            <v>Tujuan</v>
          </cell>
          <cell r="B541" t="str">
            <v>:</v>
          </cell>
          <cell r="C541" t="str">
            <v>Base Camp.</v>
          </cell>
        </row>
        <row r="543">
          <cell r="H543" t="str">
            <v xml:space="preserve">Lanjutan  </v>
          </cell>
        </row>
        <row r="544">
          <cell r="H544" t="str">
            <v>HARGA</v>
          </cell>
        </row>
        <row r="545">
          <cell r="A545" t="str">
            <v>No.</v>
          </cell>
          <cell r="B545" t="str">
            <v>URAIAN</v>
          </cell>
          <cell r="E545" t="str">
            <v>KODE</v>
          </cell>
          <cell r="F545" t="str">
            <v>KOEF.</v>
          </cell>
          <cell r="G545" t="str">
            <v>SATUAN</v>
          </cell>
          <cell r="H545" t="str">
            <v>SATUAN</v>
          </cell>
        </row>
        <row r="546">
          <cell r="H546" t="str">
            <v>(Rp.)</v>
          </cell>
        </row>
        <row r="548">
          <cell r="C548" t="str">
            <v>Kapasitas Produksi / Jam   =</v>
          </cell>
        </row>
        <row r="549">
          <cell r="C549" t="str">
            <v>V x Fa x 60</v>
          </cell>
          <cell r="E549" t="str">
            <v>Q2</v>
          </cell>
          <cell r="F549">
            <v>23.444700000000001</v>
          </cell>
          <cell r="G549" t="str">
            <v>M3 / Jam</v>
          </cell>
        </row>
        <row r="550">
          <cell r="C550" t="str">
            <v>Ts2</v>
          </cell>
        </row>
        <row r="552">
          <cell r="C552" t="str">
            <v>Biaya Dump Truck / M3  =  (1 : Q2) x RpE08</v>
          </cell>
          <cell r="E552" t="str">
            <v>Rp1</v>
          </cell>
          <cell r="F552">
            <v>3509.0203999999999</v>
          </cell>
          <cell r="G552" t="str">
            <v>Rupiah</v>
          </cell>
        </row>
        <row r="555">
          <cell r="A555" t="str">
            <v>IV.</v>
          </cell>
          <cell r="C555" t="str">
            <v>HARGA SATUAN DASAR BAHAN</v>
          </cell>
        </row>
        <row r="556">
          <cell r="C556" t="str">
            <v>DI LOKASI PEKERJAAN</v>
          </cell>
        </row>
        <row r="558">
          <cell r="C558" t="str">
            <v>Harga Satuan Dasar  Agregate  =</v>
          </cell>
        </row>
        <row r="560">
          <cell r="C560" t="str">
            <v>(  RpM04  +  Rp1    )</v>
          </cell>
          <cell r="E560" t="str">
            <v>M04</v>
          </cell>
          <cell r="F560">
            <v>3509.0203999999999</v>
          </cell>
          <cell r="G560" t="str">
            <v>Rupiah</v>
          </cell>
        </row>
        <row r="562">
          <cell r="C562" t="str">
            <v>Dibulatkan   :</v>
          </cell>
          <cell r="E562" t="str">
            <v>M04</v>
          </cell>
          <cell r="F562">
            <v>3500</v>
          </cell>
          <cell r="G562" t="str">
            <v>Rupiah</v>
          </cell>
        </row>
        <row r="593">
          <cell r="A593" t="str">
            <v>ANALISA HARGA DASAR SATUAN BAHAN</v>
          </cell>
        </row>
        <row r="595">
          <cell r="A595" t="str">
            <v>Jenis</v>
          </cell>
          <cell r="B595" t="str">
            <v>:</v>
          </cell>
          <cell r="C595" t="str">
            <v>M04.a  -  Agregate Halus, untuk Lapen</v>
          </cell>
        </row>
        <row r="596">
          <cell r="A596" t="str">
            <v>Lokasi</v>
          </cell>
          <cell r="B596" t="str">
            <v>:</v>
          </cell>
          <cell r="C596" t="str">
            <v>Quarry</v>
          </cell>
        </row>
        <row r="597">
          <cell r="A597" t="str">
            <v>Tujuan</v>
          </cell>
          <cell r="B597" t="str">
            <v>:</v>
          </cell>
          <cell r="C597" t="str">
            <v>Base Camp.</v>
          </cell>
        </row>
        <row r="599">
          <cell r="H599" t="str">
            <v>HARGA</v>
          </cell>
        </row>
        <row r="600">
          <cell r="A600" t="str">
            <v>No.</v>
          </cell>
          <cell r="B600" t="str">
            <v>URAIAN</v>
          </cell>
          <cell r="E600" t="str">
            <v>KODE</v>
          </cell>
          <cell r="F600" t="str">
            <v>KOEF.</v>
          </cell>
          <cell r="G600" t="str">
            <v>SATUAN</v>
          </cell>
          <cell r="H600" t="str">
            <v>SATUAN</v>
          </cell>
        </row>
        <row r="601">
          <cell r="H601" t="str">
            <v>(Rp.)</v>
          </cell>
        </row>
        <row r="603">
          <cell r="A603" t="str">
            <v>I.</v>
          </cell>
          <cell r="C603" t="str">
            <v>ASUMSI</v>
          </cell>
        </row>
        <row r="604">
          <cell r="A604">
            <v>1</v>
          </cell>
          <cell r="C604" t="str">
            <v>Menggunakan alat berat</v>
          </cell>
        </row>
        <row r="605">
          <cell r="A605">
            <v>2</v>
          </cell>
          <cell r="C605" t="str">
            <v>Kondisi Jalan   :  sedang / baik</v>
          </cell>
        </row>
        <row r="606">
          <cell r="A606">
            <v>3</v>
          </cell>
          <cell r="C606" t="str">
            <v>Jarak Quarry ke Base Camp.</v>
          </cell>
          <cell r="E606" t="str">
            <v>L</v>
          </cell>
          <cell r="F606">
            <v>50</v>
          </cell>
          <cell r="G606" t="str">
            <v>Km</v>
          </cell>
        </row>
        <row r="607">
          <cell r="A607">
            <v>4</v>
          </cell>
          <cell r="C607" t="str">
            <v>Harga satuan Agregate di Quarry</v>
          </cell>
          <cell r="E607" t="str">
            <v>RpM04a</v>
          </cell>
          <cell r="F607">
            <v>1</v>
          </cell>
          <cell r="G607" t="str">
            <v>M3</v>
          </cell>
          <cell r="H607">
            <v>60000</v>
          </cell>
        </row>
        <row r="608">
          <cell r="A608">
            <v>5</v>
          </cell>
          <cell r="C608" t="str">
            <v>Harga Satuan Dasar Dump Truck</v>
          </cell>
          <cell r="E608" t="str">
            <v>RpE08</v>
          </cell>
          <cell r="F608">
            <v>1</v>
          </cell>
          <cell r="G608" t="str">
            <v>Jam</v>
          </cell>
          <cell r="H608">
            <v>82267.929999999993</v>
          </cell>
        </row>
        <row r="611">
          <cell r="A611" t="str">
            <v>II.</v>
          </cell>
          <cell r="C611" t="str">
            <v>URUTAN KERJA</v>
          </cell>
        </row>
        <row r="613">
          <cell r="A613">
            <v>1</v>
          </cell>
          <cell r="C613" t="str">
            <v>Excavator sekaligus memuat Agregate</v>
          </cell>
        </row>
        <row r="614">
          <cell r="C614" t="str">
            <v>ke dalam Dump Truck</v>
          </cell>
        </row>
        <row r="615">
          <cell r="A615">
            <v>2</v>
          </cell>
          <cell r="C615" t="str">
            <v>Dump Truck mengangkut Agregate</v>
          </cell>
        </row>
        <row r="616">
          <cell r="C616" t="str">
            <v>ke lokasi pekerjaan</v>
          </cell>
        </row>
        <row r="618">
          <cell r="A618" t="str">
            <v>III.</v>
          </cell>
          <cell r="C618" t="str">
            <v>PERHITUNGAN</v>
          </cell>
        </row>
        <row r="620">
          <cell r="C620" t="str">
            <v>EXCAVATOR</v>
          </cell>
          <cell r="E620" t="str">
            <v>(E10)</v>
          </cell>
        </row>
        <row r="621">
          <cell r="C621" t="str">
            <v>Kapasitas Bucket</v>
          </cell>
          <cell r="E621" t="str">
            <v>V</v>
          </cell>
          <cell r="F621">
            <v>0.5</v>
          </cell>
          <cell r="G621" t="str">
            <v>M3</v>
          </cell>
        </row>
        <row r="622">
          <cell r="C622" t="str">
            <v>Faktor Bucket</v>
          </cell>
          <cell r="E622" t="str">
            <v>Fb</v>
          </cell>
          <cell r="F622">
            <v>0.9</v>
          </cell>
          <cell r="G622" t="str">
            <v>-</v>
          </cell>
        </row>
        <row r="623">
          <cell r="C623" t="str">
            <v>Faktor  Efisiensi alat</v>
          </cell>
          <cell r="E623" t="str">
            <v>Fa</v>
          </cell>
          <cell r="F623">
            <v>0.83</v>
          </cell>
          <cell r="G623" t="str">
            <v>-</v>
          </cell>
        </row>
        <row r="624">
          <cell r="C624" t="str">
            <v>Waktu siklus</v>
          </cell>
          <cell r="E624" t="str">
            <v>Ts1</v>
          </cell>
        </row>
        <row r="625">
          <cell r="C625" t="str">
            <v>- Menggali / memuat</v>
          </cell>
          <cell r="E625" t="str">
            <v>T1</v>
          </cell>
          <cell r="F625">
            <v>0.45</v>
          </cell>
          <cell r="G625" t="str">
            <v>menit</v>
          </cell>
        </row>
        <row r="626">
          <cell r="C626" t="str">
            <v>- Lain-lain</v>
          </cell>
          <cell r="E626" t="str">
            <v>T2</v>
          </cell>
          <cell r="F626">
            <v>0.25</v>
          </cell>
          <cell r="G626" t="str">
            <v>menit</v>
          </cell>
        </row>
        <row r="627">
          <cell r="E627" t="str">
            <v>Ts1</v>
          </cell>
          <cell r="F627">
            <v>0.7</v>
          </cell>
          <cell r="G627" t="str">
            <v>menit</v>
          </cell>
        </row>
        <row r="628">
          <cell r="C628" t="str">
            <v>Kap. Prod. / jam =</v>
          </cell>
        </row>
        <row r="629">
          <cell r="C629" t="str">
            <v>V  x Fb x Fa x 60</v>
          </cell>
          <cell r="E629" t="str">
            <v>Q1</v>
          </cell>
          <cell r="F629">
            <v>32.014299999999999</v>
          </cell>
          <cell r="G629" t="str">
            <v>M3 / Jam</v>
          </cell>
        </row>
        <row r="630">
          <cell r="C630" t="str">
            <v>Ts1</v>
          </cell>
        </row>
        <row r="635">
          <cell r="C635" t="str">
            <v>DUMP TRUCK</v>
          </cell>
          <cell r="E635" t="str">
            <v>(E08)</v>
          </cell>
        </row>
        <row r="636">
          <cell r="C636" t="str">
            <v>Kapasitas bak</v>
          </cell>
          <cell r="E636" t="str">
            <v>V</v>
          </cell>
          <cell r="F636">
            <v>4</v>
          </cell>
          <cell r="G636" t="str">
            <v>M3</v>
          </cell>
        </row>
        <row r="637">
          <cell r="C637" t="str">
            <v>Faktor  efisiensi alat</v>
          </cell>
          <cell r="E637" t="str">
            <v>Fa</v>
          </cell>
          <cell r="F637">
            <v>0.83</v>
          </cell>
          <cell r="G637" t="str">
            <v>-</v>
          </cell>
        </row>
        <row r="638">
          <cell r="C638" t="str">
            <v>Kecepatan rata-rata bermuatan</v>
          </cell>
          <cell r="E638" t="str">
            <v>v1</v>
          </cell>
          <cell r="F638">
            <v>40</v>
          </cell>
          <cell r="G638" t="str">
            <v>KM/Jam</v>
          </cell>
        </row>
        <row r="639">
          <cell r="C639" t="str">
            <v>Kecepatan rata-rata kosong</v>
          </cell>
          <cell r="E639" t="str">
            <v>v2</v>
          </cell>
          <cell r="F639">
            <v>60</v>
          </cell>
          <cell r="G639" t="str">
            <v>KM/Jam</v>
          </cell>
        </row>
        <row r="640">
          <cell r="C640" t="str">
            <v>Waktu  siklus</v>
          </cell>
          <cell r="E640" t="str">
            <v>Ts2</v>
          </cell>
        </row>
        <row r="641">
          <cell r="C641" t="str">
            <v>- Waktu tempuh isi  =  (L/v1) x 60</v>
          </cell>
          <cell r="E641" t="str">
            <v>T1</v>
          </cell>
          <cell r="F641">
            <v>75</v>
          </cell>
          <cell r="G641" t="str">
            <v>menit</v>
          </cell>
        </row>
        <row r="642">
          <cell r="C642" t="str">
            <v>- Waktu tempuh kosong  =  (L/v2) x 60</v>
          </cell>
          <cell r="E642" t="str">
            <v>T2</v>
          </cell>
          <cell r="F642">
            <v>50</v>
          </cell>
          <cell r="G642" t="str">
            <v>menit</v>
          </cell>
        </row>
        <row r="643">
          <cell r="C643" t="str">
            <v>- Muat   =  (V/Q1) x 60</v>
          </cell>
          <cell r="E643" t="str">
            <v>T3</v>
          </cell>
          <cell r="F643">
            <v>7.4965999999999999</v>
          </cell>
          <cell r="G643" t="str">
            <v>menit</v>
          </cell>
        </row>
        <row r="644">
          <cell r="C644" t="str">
            <v>- Lain-lain</v>
          </cell>
          <cell r="E644" t="str">
            <v>T4</v>
          </cell>
          <cell r="F644">
            <v>1</v>
          </cell>
          <cell r="G644" t="str">
            <v>menit</v>
          </cell>
        </row>
        <row r="645">
          <cell r="E645" t="str">
            <v>Ts2</v>
          </cell>
          <cell r="F645">
            <v>133.4966</v>
          </cell>
          <cell r="G645" t="str">
            <v>menit</v>
          </cell>
        </row>
        <row r="647">
          <cell r="H647" t="str">
            <v xml:space="preserve">Bersambung  </v>
          </cell>
        </row>
        <row r="648">
          <cell r="A648" t="str">
            <v>ANALISA HARGA DASAR SATUAN BAHAN</v>
          </cell>
        </row>
        <row r="650">
          <cell r="A650" t="str">
            <v>Jenis</v>
          </cell>
          <cell r="B650" t="str">
            <v>:</v>
          </cell>
          <cell r="C650" t="str">
            <v>M04.a  -  Agregate Halus, untuk Lapen</v>
          </cell>
        </row>
        <row r="651">
          <cell r="A651" t="str">
            <v>Lokasi</v>
          </cell>
          <cell r="B651" t="str">
            <v>:</v>
          </cell>
          <cell r="C651" t="str">
            <v>Quarry</v>
          </cell>
        </row>
        <row r="652">
          <cell r="A652" t="str">
            <v>Tujuan</v>
          </cell>
          <cell r="B652" t="str">
            <v>:</v>
          </cell>
          <cell r="C652" t="str">
            <v>Base Camp.</v>
          </cell>
        </row>
        <row r="654">
          <cell r="H654" t="str">
            <v xml:space="preserve">Lanjutan  </v>
          </cell>
        </row>
        <row r="655">
          <cell r="H655" t="str">
            <v>HARGA</v>
          </cell>
        </row>
        <row r="656">
          <cell r="A656" t="str">
            <v>No.</v>
          </cell>
          <cell r="B656" t="str">
            <v>URAIAN</v>
          </cell>
          <cell r="E656" t="str">
            <v>KODE</v>
          </cell>
          <cell r="F656" t="str">
            <v>KOEF.</v>
          </cell>
          <cell r="G656" t="str">
            <v>SATUAN</v>
          </cell>
          <cell r="H656" t="str">
            <v>SATUAN</v>
          </cell>
        </row>
        <row r="657">
          <cell r="H657" t="str">
            <v>(Rp.)</v>
          </cell>
        </row>
        <row r="659">
          <cell r="C659" t="str">
            <v>Kapasitas Produksi / Jam   =</v>
          </cell>
        </row>
        <row r="660">
          <cell r="C660" t="str">
            <v>V x Fa x 60</v>
          </cell>
          <cell r="E660" t="str">
            <v>Q2</v>
          </cell>
          <cell r="F660">
            <v>1.4922</v>
          </cell>
          <cell r="G660" t="str">
            <v>M3 / Jam</v>
          </cell>
        </row>
        <row r="661">
          <cell r="C661" t="str">
            <v>Ts2</v>
          </cell>
        </row>
        <row r="663">
          <cell r="C663" t="str">
            <v>Biaya Dump Truck / M3  =  (1 : Q2) x RpE08</v>
          </cell>
          <cell r="E663" t="str">
            <v>Rp1</v>
          </cell>
          <cell r="F663">
            <v>55131.972900000001</v>
          </cell>
          <cell r="G663" t="str">
            <v>Rupiah</v>
          </cell>
        </row>
        <row r="666">
          <cell r="A666" t="str">
            <v>IV.</v>
          </cell>
          <cell r="C666" t="str">
            <v>HARGA SATUAN DASAR BAHAN</v>
          </cell>
        </row>
        <row r="667">
          <cell r="C667" t="str">
            <v>DI LOKASI PEKERJAAN</v>
          </cell>
        </row>
        <row r="669">
          <cell r="C669" t="str">
            <v>Harga Satuan Dasar  Agregate  =</v>
          </cell>
        </row>
        <row r="671">
          <cell r="C671" t="str">
            <v>(  RpM04a  +  Rp1    )</v>
          </cell>
          <cell r="E671" t="str">
            <v>M04a</v>
          </cell>
          <cell r="F671">
            <v>115131.97289999999</v>
          </cell>
          <cell r="G671" t="str">
            <v>Rupiah</v>
          </cell>
        </row>
        <row r="673">
          <cell r="C673" t="str">
            <v>Dibulatkan   :</v>
          </cell>
          <cell r="E673" t="str">
            <v>M04a</v>
          </cell>
          <cell r="F673">
            <v>115100</v>
          </cell>
          <cell r="G673" t="str">
            <v>Rupiah</v>
          </cell>
        </row>
      </sheetData>
      <sheetData sheetId="6" refreshError="1">
        <row r="1">
          <cell r="A1" t="str">
            <v>DAFTAR</v>
          </cell>
        </row>
        <row r="2">
          <cell r="A2" t="str">
            <v>HARGA DASAR SATUAN UPAH</v>
          </cell>
        </row>
        <row r="4">
          <cell r="F4" t="str">
            <v>HARGA</v>
          </cell>
        </row>
        <row r="5">
          <cell r="A5" t="str">
            <v>No.</v>
          </cell>
          <cell r="B5" t="str">
            <v>U R A I A N</v>
          </cell>
          <cell r="D5" t="str">
            <v>KODE</v>
          </cell>
          <cell r="E5" t="str">
            <v>SATUAN</v>
          </cell>
          <cell r="F5" t="str">
            <v>SATUAN</v>
          </cell>
          <cell r="G5" t="str">
            <v>KETERANGAN</v>
          </cell>
        </row>
        <row r="6">
          <cell r="F6" t="str">
            <v>( Rp.)</v>
          </cell>
        </row>
        <row r="8">
          <cell r="A8" t="str">
            <v>1.</v>
          </cell>
          <cell r="C8" t="str">
            <v>Pekerja</v>
          </cell>
          <cell r="D8" t="str">
            <v>L01</v>
          </cell>
          <cell r="E8" t="str">
            <v>Jam</v>
          </cell>
          <cell r="F8">
            <v>2500</v>
          </cell>
        </row>
        <row r="10">
          <cell r="A10" t="str">
            <v>2.</v>
          </cell>
          <cell r="C10" t="str">
            <v>Tukang</v>
          </cell>
          <cell r="D10" t="str">
            <v>L02</v>
          </cell>
          <cell r="E10" t="str">
            <v>Jam</v>
          </cell>
          <cell r="F10">
            <v>3214.29</v>
          </cell>
        </row>
        <row r="12">
          <cell r="A12" t="str">
            <v>3.</v>
          </cell>
          <cell r="C12" t="str">
            <v>M a n d o r</v>
          </cell>
          <cell r="D12" t="str">
            <v>L03</v>
          </cell>
          <cell r="E12" t="str">
            <v>Jam</v>
          </cell>
          <cell r="F12">
            <v>3571.43</v>
          </cell>
        </row>
        <row r="14">
          <cell r="A14" t="str">
            <v>4.</v>
          </cell>
          <cell r="C14" t="str">
            <v>Operator</v>
          </cell>
          <cell r="D14" t="str">
            <v>L04</v>
          </cell>
          <cell r="E14" t="str">
            <v>Jam</v>
          </cell>
          <cell r="F14">
            <v>3571.43</v>
          </cell>
        </row>
        <row r="16">
          <cell r="A16" t="str">
            <v>5.</v>
          </cell>
          <cell r="C16" t="str">
            <v>Pembantu Operator</v>
          </cell>
          <cell r="D16" t="str">
            <v>L05</v>
          </cell>
          <cell r="E16" t="str">
            <v>Jam</v>
          </cell>
          <cell r="F16">
            <v>2500</v>
          </cell>
        </row>
        <row r="18">
          <cell r="A18" t="str">
            <v>6.</v>
          </cell>
          <cell r="C18" t="str">
            <v>Sopir / Driver</v>
          </cell>
          <cell r="D18" t="str">
            <v>L06</v>
          </cell>
          <cell r="E18" t="str">
            <v>Jam</v>
          </cell>
          <cell r="F18">
            <v>3571.43</v>
          </cell>
        </row>
        <row r="20">
          <cell r="A20" t="str">
            <v>7.</v>
          </cell>
          <cell r="C20" t="str">
            <v>Pembantu Sopir / Driver</v>
          </cell>
          <cell r="D20" t="str">
            <v>L07</v>
          </cell>
          <cell r="E20" t="str">
            <v>Jam</v>
          </cell>
          <cell r="F20">
            <v>2500</v>
          </cell>
        </row>
        <row r="22">
          <cell r="A22" t="str">
            <v>8.</v>
          </cell>
          <cell r="C22" t="str">
            <v>Mekanik</v>
          </cell>
          <cell r="D22" t="str">
            <v>L08</v>
          </cell>
          <cell r="E22" t="str">
            <v>Jam</v>
          </cell>
          <cell r="F22">
            <v>3571.43</v>
          </cell>
        </row>
        <row r="24">
          <cell r="A24" t="str">
            <v>9.</v>
          </cell>
          <cell r="C24" t="str">
            <v>Pembantu Mekanik</v>
          </cell>
          <cell r="D24" t="str">
            <v>L09</v>
          </cell>
          <cell r="E24" t="str">
            <v>Jam</v>
          </cell>
          <cell r="F24">
            <v>2500</v>
          </cell>
        </row>
        <row r="26">
          <cell r="A26" t="str">
            <v>10.</v>
          </cell>
          <cell r="C26" t="str">
            <v>Kepala Tukang</v>
          </cell>
          <cell r="D26" t="str">
            <v>L10</v>
          </cell>
          <cell r="E26" t="str">
            <v>Jam</v>
          </cell>
          <cell r="F26">
            <v>3571.43</v>
          </cell>
        </row>
        <row r="33">
          <cell r="A33" t="str">
            <v>DAFTAR</v>
          </cell>
        </row>
        <row r="34">
          <cell r="A34" t="str">
            <v>HARGA DASAR SATUAN BAHAN</v>
          </cell>
        </row>
        <row r="36">
          <cell r="F36" t="str">
            <v>HARGA</v>
          </cell>
        </row>
        <row r="37">
          <cell r="A37" t="str">
            <v>No.</v>
          </cell>
          <cell r="B37" t="str">
            <v>U R A I A N</v>
          </cell>
          <cell r="D37" t="str">
            <v>KODE</v>
          </cell>
          <cell r="E37" t="str">
            <v>SATUAN</v>
          </cell>
          <cell r="F37" t="str">
            <v>SATUAN</v>
          </cell>
          <cell r="G37" t="str">
            <v>KETERANGAN</v>
          </cell>
        </row>
        <row r="38">
          <cell r="F38" t="str">
            <v>( Rp.)</v>
          </cell>
        </row>
        <row r="40">
          <cell r="A40">
            <v>1</v>
          </cell>
          <cell r="C40" t="str">
            <v>P a s i r</v>
          </cell>
          <cell r="D40" t="str">
            <v>M01</v>
          </cell>
          <cell r="E40" t="str">
            <v>M3</v>
          </cell>
          <cell r="F40">
            <v>48500</v>
          </cell>
          <cell r="G40" t="str">
            <v xml:space="preserve"> Lokasi Pekerjaan</v>
          </cell>
        </row>
        <row r="41">
          <cell r="A41">
            <v>2</v>
          </cell>
          <cell r="C41" t="str">
            <v>Batu Kali</v>
          </cell>
          <cell r="D41" t="str">
            <v>M02</v>
          </cell>
          <cell r="E41" t="str">
            <v>M3</v>
          </cell>
          <cell r="F41">
            <v>0</v>
          </cell>
          <cell r="G41" t="str">
            <v xml:space="preserve"> Lokasi Pekerjaan</v>
          </cell>
        </row>
        <row r="42">
          <cell r="A42">
            <v>3</v>
          </cell>
          <cell r="C42" t="str">
            <v>Agregat Kasar untuk Base</v>
          </cell>
          <cell r="D42" t="str">
            <v>M03</v>
          </cell>
          <cell r="E42" t="str">
            <v>M3</v>
          </cell>
          <cell r="F42">
            <v>0</v>
          </cell>
        </row>
        <row r="43">
          <cell r="C43" t="str">
            <v>Agregat Kasar untuk Lapen / Cor</v>
          </cell>
          <cell r="D43" t="str">
            <v>M03a</v>
          </cell>
          <cell r="E43" t="str">
            <v>M3</v>
          </cell>
          <cell r="F43">
            <v>120100</v>
          </cell>
          <cell r="G43" t="str">
            <v xml:space="preserve"> Lokasi Pekerjaan</v>
          </cell>
        </row>
        <row r="44">
          <cell r="A44">
            <v>4</v>
          </cell>
          <cell r="C44" t="str">
            <v>Agregat Halus untuk Base</v>
          </cell>
          <cell r="D44" t="str">
            <v>M04</v>
          </cell>
          <cell r="E44" t="str">
            <v>M3</v>
          </cell>
          <cell r="F44">
            <v>0</v>
          </cell>
        </row>
        <row r="45">
          <cell r="C45" t="str">
            <v xml:space="preserve">Agregat Halus untuk Lapen </v>
          </cell>
          <cell r="D45" t="str">
            <v>M04a</v>
          </cell>
          <cell r="E45" t="str">
            <v>M3</v>
          </cell>
          <cell r="F45">
            <v>115100</v>
          </cell>
          <cell r="G45" t="str">
            <v xml:space="preserve"> Lokasi Pekerjaan</v>
          </cell>
        </row>
        <row r="46">
          <cell r="A46">
            <v>5</v>
          </cell>
          <cell r="C46" t="str">
            <v>F i l l e r</v>
          </cell>
          <cell r="D46" t="str">
            <v>M05</v>
          </cell>
          <cell r="E46" t="str">
            <v>Kg</v>
          </cell>
          <cell r="F46">
            <v>100</v>
          </cell>
          <cell r="G46" t="str">
            <v xml:space="preserve"> Proses/Base Camp</v>
          </cell>
        </row>
        <row r="47">
          <cell r="A47">
            <v>6</v>
          </cell>
          <cell r="C47" t="str">
            <v xml:space="preserve">Batu Belah </v>
          </cell>
          <cell r="D47" t="str">
            <v>M06</v>
          </cell>
          <cell r="E47" t="str">
            <v>M3</v>
          </cell>
          <cell r="F47">
            <v>54300</v>
          </cell>
          <cell r="G47" t="str">
            <v xml:space="preserve"> Lokasi Pekerjaan</v>
          </cell>
        </row>
        <row r="48">
          <cell r="C48" t="str">
            <v>Batu Belah 10/15</v>
          </cell>
          <cell r="D48" t="str">
            <v>M06.a</v>
          </cell>
          <cell r="E48" t="str">
            <v>M3</v>
          </cell>
          <cell r="F48">
            <v>74300</v>
          </cell>
          <cell r="G48" t="str">
            <v xml:space="preserve"> Lokasi Pekerjaan</v>
          </cell>
        </row>
        <row r="49">
          <cell r="C49" t="str">
            <v>Batu Belah  5/7</v>
          </cell>
          <cell r="D49" t="str">
            <v>M06.b</v>
          </cell>
          <cell r="E49" t="str">
            <v>M3</v>
          </cell>
          <cell r="F49">
            <v>79300</v>
          </cell>
          <cell r="G49" t="str">
            <v xml:space="preserve"> Lokasi Pekerjaan</v>
          </cell>
        </row>
        <row r="50">
          <cell r="A50">
            <v>7</v>
          </cell>
          <cell r="C50" t="str">
            <v>G r a v e l</v>
          </cell>
          <cell r="D50" t="str">
            <v>M07</v>
          </cell>
          <cell r="E50" t="str">
            <v>M3</v>
          </cell>
          <cell r="F50">
            <v>0</v>
          </cell>
        </row>
        <row r="51">
          <cell r="A51">
            <v>8</v>
          </cell>
          <cell r="C51" t="str">
            <v>Material Tanah Timbunan</v>
          </cell>
          <cell r="D51" t="str">
            <v>M08</v>
          </cell>
          <cell r="E51" t="str">
            <v>M3</v>
          </cell>
          <cell r="F51">
            <v>5000</v>
          </cell>
          <cell r="G51" t="str">
            <v xml:space="preserve"> Borrow Pit</v>
          </cell>
        </row>
        <row r="52">
          <cell r="A52">
            <v>9</v>
          </cell>
          <cell r="C52" t="str">
            <v>Material Pilihan</v>
          </cell>
          <cell r="D52" t="str">
            <v>M09</v>
          </cell>
          <cell r="E52" t="str">
            <v>M3</v>
          </cell>
          <cell r="F52">
            <v>10000</v>
          </cell>
          <cell r="G52" t="str">
            <v xml:space="preserve"> Quarry</v>
          </cell>
        </row>
        <row r="53">
          <cell r="A53">
            <v>10</v>
          </cell>
          <cell r="C53" t="str">
            <v>Aspal Cement</v>
          </cell>
          <cell r="D53" t="str">
            <v>M10</v>
          </cell>
          <cell r="E53" t="str">
            <v>KG</v>
          </cell>
          <cell r="F53">
            <v>3500</v>
          </cell>
          <cell r="G53" t="str">
            <v xml:space="preserve"> Base Camp</v>
          </cell>
        </row>
        <row r="54">
          <cell r="A54">
            <v>11</v>
          </cell>
          <cell r="C54" t="str">
            <v>Kerosen / Minyak Tanah</v>
          </cell>
          <cell r="D54" t="str">
            <v>M11</v>
          </cell>
          <cell r="E54" t="str">
            <v>LITER</v>
          </cell>
          <cell r="F54">
            <v>1500</v>
          </cell>
          <cell r="G54" t="str">
            <v xml:space="preserve"> Base Camp</v>
          </cell>
        </row>
        <row r="55">
          <cell r="A55">
            <v>12</v>
          </cell>
          <cell r="C55" t="str">
            <v>Semen / PC  (50kg)</v>
          </cell>
          <cell r="D55" t="str">
            <v>M12</v>
          </cell>
          <cell r="E55" t="str">
            <v>Zak</v>
          </cell>
          <cell r="F55">
            <v>30000</v>
          </cell>
          <cell r="G55" t="str">
            <v xml:space="preserve"> Base Camp</v>
          </cell>
        </row>
        <row r="56">
          <cell r="D56" t="str">
            <v>M12</v>
          </cell>
          <cell r="E56" t="str">
            <v>Kg</v>
          </cell>
          <cell r="F56">
            <v>600</v>
          </cell>
          <cell r="G56" t="str">
            <v xml:space="preserve"> Base Camp</v>
          </cell>
        </row>
        <row r="57">
          <cell r="A57">
            <v>13</v>
          </cell>
          <cell r="C57" t="str">
            <v>Besi Beton</v>
          </cell>
          <cell r="D57" t="str">
            <v>M13</v>
          </cell>
          <cell r="E57" t="str">
            <v>Kg</v>
          </cell>
          <cell r="F57">
            <v>0</v>
          </cell>
        </row>
        <row r="58">
          <cell r="A58">
            <v>14</v>
          </cell>
          <cell r="C58" t="str">
            <v>Kawat Beton</v>
          </cell>
          <cell r="D58" t="str">
            <v>M14</v>
          </cell>
          <cell r="E58" t="str">
            <v>Kg</v>
          </cell>
          <cell r="F58">
            <v>6250</v>
          </cell>
          <cell r="G58" t="str">
            <v xml:space="preserve"> Lokasi Pekerjaan</v>
          </cell>
        </row>
        <row r="59">
          <cell r="A59">
            <v>15</v>
          </cell>
          <cell r="C59" t="str">
            <v>Kawat Bronjong</v>
          </cell>
          <cell r="D59" t="str">
            <v>M15</v>
          </cell>
          <cell r="E59" t="str">
            <v>Kg</v>
          </cell>
          <cell r="F59">
            <v>0</v>
          </cell>
        </row>
        <row r="60">
          <cell r="A60">
            <v>16</v>
          </cell>
          <cell r="C60" t="str">
            <v>S i r t u / Krakal</v>
          </cell>
          <cell r="D60" t="str">
            <v>M16</v>
          </cell>
          <cell r="E60" t="str">
            <v>M3</v>
          </cell>
          <cell r="F60">
            <v>2800</v>
          </cell>
          <cell r="G60" t="str">
            <v xml:space="preserve"> Lokasi Pekerjaan</v>
          </cell>
        </row>
        <row r="61">
          <cell r="A61">
            <v>17</v>
          </cell>
          <cell r="C61" t="str">
            <v>Cat Marka (Non Thermoplas)</v>
          </cell>
          <cell r="D61" t="str">
            <v>M17</v>
          </cell>
          <cell r="E61" t="str">
            <v>Kg</v>
          </cell>
          <cell r="F61">
            <v>75000</v>
          </cell>
          <cell r="G61" t="str">
            <v xml:space="preserve"> Lokasi Pekerjaan</v>
          </cell>
        </row>
        <row r="62">
          <cell r="C62" t="str">
            <v>Cat Marka (Thermoplastic)</v>
          </cell>
          <cell r="D62" t="str">
            <v>M17</v>
          </cell>
          <cell r="E62" t="str">
            <v>Kg</v>
          </cell>
          <cell r="F62">
            <v>0</v>
          </cell>
        </row>
        <row r="63">
          <cell r="A63">
            <v>18</v>
          </cell>
          <cell r="C63" t="str">
            <v>P a k u</v>
          </cell>
          <cell r="D63" t="str">
            <v>M18</v>
          </cell>
          <cell r="E63" t="str">
            <v>Kg</v>
          </cell>
          <cell r="F63">
            <v>5500</v>
          </cell>
          <cell r="G63" t="str">
            <v xml:space="preserve"> Lokasi Pekerjaan</v>
          </cell>
        </row>
        <row r="64">
          <cell r="A64">
            <v>19</v>
          </cell>
          <cell r="C64" t="str">
            <v>Kayu Perancah</v>
          </cell>
          <cell r="D64" t="str">
            <v>M19</v>
          </cell>
          <cell r="E64" t="str">
            <v>M3</v>
          </cell>
          <cell r="F64">
            <v>800000</v>
          </cell>
          <cell r="G64" t="str">
            <v xml:space="preserve"> Lokasi Pekerjaan</v>
          </cell>
        </row>
        <row r="65">
          <cell r="A65">
            <v>20</v>
          </cell>
          <cell r="C65" t="str">
            <v>B e n s i n</v>
          </cell>
          <cell r="D65" t="str">
            <v>M20</v>
          </cell>
          <cell r="E65" t="str">
            <v>LITER</v>
          </cell>
          <cell r="F65">
            <v>1825</v>
          </cell>
          <cell r="G65" t="str">
            <v>Base Camp.</v>
          </cell>
        </row>
        <row r="66">
          <cell r="A66">
            <v>21</v>
          </cell>
          <cell r="C66" t="str">
            <v>S o l a r</v>
          </cell>
          <cell r="D66" t="str">
            <v>M21</v>
          </cell>
          <cell r="E66" t="str">
            <v>LITER</v>
          </cell>
          <cell r="F66">
            <v>1700</v>
          </cell>
          <cell r="G66" t="str">
            <v>Base Camp.</v>
          </cell>
        </row>
        <row r="67">
          <cell r="A67">
            <v>22</v>
          </cell>
          <cell r="C67" t="str">
            <v>Minyak Pelumas / Olie</v>
          </cell>
          <cell r="D67" t="str">
            <v>M22</v>
          </cell>
          <cell r="E67" t="str">
            <v>LITER</v>
          </cell>
          <cell r="F67">
            <v>17500</v>
          </cell>
          <cell r="G67" t="str">
            <v>Base Camp.</v>
          </cell>
        </row>
        <row r="68">
          <cell r="A68">
            <v>23</v>
          </cell>
          <cell r="C68" t="str">
            <v>Plastik Filter</v>
          </cell>
          <cell r="D68" t="str">
            <v>M23</v>
          </cell>
          <cell r="E68" t="str">
            <v>M2</v>
          </cell>
          <cell r="F68">
            <v>0</v>
          </cell>
        </row>
        <row r="69">
          <cell r="A69">
            <v>24</v>
          </cell>
          <cell r="C69" t="str">
            <v>Pipa Galvanis Dia. 3"</v>
          </cell>
          <cell r="D69" t="str">
            <v>M24</v>
          </cell>
          <cell r="E69" t="str">
            <v>Batang</v>
          </cell>
          <cell r="F69">
            <v>300000</v>
          </cell>
          <cell r="G69" t="str">
            <v>Base Camp.</v>
          </cell>
        </row>
        <row r="70">
          <cell r="C70" t="str">
            <v>Pipa Galvanis Dia. 3"</v>
          </cell>
          <cell r="D70" t="str">
            <v>M24</v>
          </cell>
          <cell r="E70" t="str">
            <v>M'</v>
          </cell>
          <cell r="F70">
            <v>50000</v>
          </cell>
          <cell r="G70" t="str">
            <v>Base Camp.</v>
          </cell>
        </row>
        <row r="71">
          <cell r="A71">
            <v>25</v>
          </cell>
          <cell r="C71" t="str">
            <v>Gebalan Rumput</v>
          </cell>
          <cell r="D71" t="str">
            <v>M32</v>
          </cell>
          <cell r="E71" t="str">
            <v>M2</v>
          </cell>
          <cell r="F71">
            <v>0</v>
          </cell>
          <cell r="G71" t="str">
            <v xml:space="preserve"> Lokasi Pekerjaan</v>
          </cell>
        </row>
        <row r="72">
          <cell r="A72">
            <v>26</v>
          </cell>
          <cell r="C72" t="str">
            <v>Pelat Rambu (Eng. Grade)</v>
          </cell>
          <cell r="D72" t="str">
            <v>M35</v>
          </cell>
          <cell r="E72" t="str">
            <v>BH</v>
          </cell>
          <cell r="F72">
            <v>0</v>
          </cell>
          <cell r="G72" t="str">
            <v xml:space="preserve"> Base Camp</v>
          </cell>
        </row>
        <row r="73">
          <cell r="C73" t="str">
            <v>Pelat Rambu (High I. Grade)</v>
          </cell>
          <cell r="D73" t="str">
            <v>M35</v>
          </cell>
          <cell r="E73" t="str">
            <v>BH</v>
          </cell>
          <cell r="F73">
            <v>0</v>
          </cell>
        </row>
        <row r="74">
          <cell r="A74">
            <v>27</v>
          </cell>
          <cell r="C74" t="str">
            <v>Rel Pengaman</v>
          </cell>
          <cell r="D74" t="str">
            <v>M36</v>
          </cell>
          <cell r="E74" t="str">
            <v>M'</v>
          </cell>
          <cell r="F74">
            <v>0</v>
          </cell>
        </row>
        <row r="75">
          <cell r="A75">
            <v>28</v>
          </cell>
          <cell r="C75" t="str">
            <v>Beton K-250</v>
          </cell>
          <cell r="D75" t="str">
            <v>M37</v>
          </cell>
          <cell r="E75" t="str">
            <v>M3</v>
          </cell>
          <cell r="F75">
            <v>460243.23</v>
          </cell>
          <cell r="G75" t="str">
            <v xml:space="preserve"> Lokasi Pekerjaan</v>
          </cell>
        </row>
        <row r="76">
          <cell r="A76">
            <v>29</v>
          </cell>
          <cell r="C76" t="str">
            <v>Beton K-175</v>
          </cell>
          <cell r="D76" t="str">
            <v>M38</v>
          </cell>
          <cell r="E76" t="str">
            <v>M3</v>
          </cell>
          <cell r="F76">
            <v>0</v>
          </cell>
          <cell r="G76" t="str">
            <v xml:space="preserve"> Lokasi Pekerjaan</v>
          </cell>
        </row>
        <row r="77">
          <cell r="A77">
            <v>30</v>
          </cell>
          <cell r="C77" t="str">
            <v>Baja Tulangan (Polos)</v>
          </cell>
          <cell r="D77" t="str">
            <v>M39a</v>
          </cell>
          <cell r="E77" t="str">
            <v>Kg</v>
          </cell>
          <cell r="F77">
            <v>5800</v>
          </cell>
          <cell r="G77" t="str">
            <v xml:space="preserve"> Lokasi Pekerjaan</v>
          </cell>
        </row>
        <row r="78">
          <cell r="C78" t="str">
            <v>Baja Tulangan (Ulir)</v>
          </cell>
          <cell r="D78" t="str">
            <v>M39b</v>
          </cell>
          <cell r="E78" t="str">
            <v>Kg</v>
          </cell>
          <cell r="F78">
            <v>0</v>
          </cell>
          <cell r="G78" t="str">
            <v xml:space="preserve"> Base Camp</v>
          </cell>
        </row>
        <row r="79">
          <cell r="A79">
            <v>31</v>
          </cell>
          <cell r="C79" t="str">
            <v>Pasir Urug</v>
          </cell>
          <cell r="D79" t="str">
            <v>M44</v>
          </cell>
          <cell r="E79" t="str">
            <v>M3</v>
          </cell>
          <cell r="F79">
            <v>46000</v>
          </cell>
          <cell r="G79" t="str">
            <v xml:space="preserve"> Lokasi Pekerjaan</v>
          </cell>
        </row>
        <row r="80">
          <cell r="A80">
            <v>32</v>
          </cell>
          <cell r="C80" t="str">
            <v>Beton K-125</v>
          </cell>
          <cell r="D80" t="str">
            <v>M47</v>
          </cell>
          <cell r="E80" t="str">
            <v>M3</v>
          </cell>
          <cell r="F80">
            <v>0</v>
          </cell>
          <cell r="G80" t="str">
            <v xml:space="preserve"> Lokasi Pekerjaan</v>
          </cell>
        </row>
        <row r="81">
          <cell r="A81">
            <v>33</v>
          </cell>
          <cell r="C81" t="str">
            <v>Beton K - 300</v>
          </cell>
          <cell r="D81" t="str">
            <v>M49</v>
          </cell>
          <cell r="E81" t="str">
            <v>M'</v>
          </cell>
          <cell r="F81">
            <v>0</v>
          </cell>
          <cell r="G81" t="str">
            <v xml:space="preserve"> Lokasi Pekerjaan</v>
          </cell>
        </row>
        <row r="82">
          <cell r="A82">
            <v>34</v>
          </cell>
          <cell r="C82" t="str">
            <v>T. Pancang Beton Pratekan dia.40 cm</v>
          </cell>
          <cell r="D82" t="str">
            <v>M50</v>
          </cell>
          <cell r="E82" t="str">
            <v>M'</v>
          </cell>
          <cell r="F82">
            <v>300000</v>
          </cell>
          <cell r="G82" t="str">
            <v xml:space="preserve"> Lokasi Pekerjaan</v>
          </cell>
        </row>
        <row r="83">
          <cell r="A83">
            <v>35</v>
          </cell>
          <cell r="C83" t="str">
            <v>Asbuton</v>
          </cell>
          <cell r="D83" t="str">
            <v>M54</v>
          </cell>
          <cell r="E83" t="str">
            <v>Kg</v>
          </cell>
          <cell r="F83">
            <v>0</v>
          </cell>
        </row>
      </sheetData>
      <sheetData sheetId="7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2.1</v>
          </cell>
          <cell r="J1" t="str">
            <v xml:space="preserve">Analisa EI-21 </v>
          </cell>
          <cell r="T1" t="str">
            <v xml:space="preserve">Analisa EI-21 </v>
          </cell>
          <cell r="AE1" t="str">
            <v>DAFTAR BIAYA SEWA PERALATAN PER JAM KERJA</v>
          </cell>
        </row>
        <row r="2">
          <cell r="D2" t="str">
            <v>:  Pek. Galian Untuk Saluran</v>
          </cell>
        </row>
        <row r="3"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  <cell r="AM3" t="str">
            <v>BIAYA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  <cell r="AB4" t="str">
            <v>TOTAL</v>
          </cell>
          <cell r="AE4" t="str">
            <v>No.</v>
          </cell>
          <cell r="AF4" t="str">
            <v>URAIAN</v>
          </cell>
          <cell r="AH4" t="str">
            <v>KO</v>
          </cell>
          <cell r="AI4" t="str">
            <v>HP</v>
          </cell>
          <cell r="AJ4" t="str">
            <v>KAP.</v>
          </cell>
          <cell r="AL4" t="str">
            <v>HARGA</v>
          </cell>
          <cell r="AM4" t="str">
            <v>SEWA</v>
          </cell>
          <cell r="AN4" t="str">
            <v>KET.</v>
          </cell>
        </row>
        <row r="5">
          <cell r="B5" t="str">
            <v>U R A I A N</v>
          </cell>
          <cell r="E5" t="str">
            <v>SATUAN</v>
          </cell>
          <cell r="F5" t="str">
            <v>ALAT</v>
          </cell>
          <cell r="G5" t="str">
            <v>ALAT</v>
          </cell>
          <cell r="H5" t="str">
            <v>KET.</v>
          </cell>
          <cell r="I5" t="str">
            <v>ALAT</v>
          </cell>
          <cell r="K5" t="str">
            <v>JAM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  <cell r="W5" t="str">
            <v>PERBAIKAN &amp; PERAWATAN</v>
          </cell>
          <cell r="Y5" t="str">
            <v>UPAH</v>
          </cell>
          <cell r="AA5" t="str">
            <v>TOTAL</v>
          </cell>
          <cell r="AB5" t="str">
            <v>BIAYA</v>
          </cell>
          <cell r="AH5" t="str">
            <v>DE</v>
          </cell>
          <cell r="AL5" t="str">
            <v>ALAT</v>
          </cell>
          <cell r="AM5" t="str">
            <v>ALAT/JAM</v>
          </cell>
        </row>
        <row r="6">
          <cell r="C6" t="str">
            <v>U R A I A N</v>
          </cell>
          <cell r="F6" t="str">
            <v>(Rp)</v>
          </cell>
          <cell r="G6" t="str">
            <v>( Km )</v>
          </cell>
          <cell r="H6" t="str">
            <v>KOEF.</v>
          </cell>
          <cell r="I6" t="str">
            <v>SATUAN</v>
          </cell>
          <cell r="J6" t="str">
            <v>UMUR</v>
          </cell>
          <cell r="K6" t="str">
            <v>KERJA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  <cell r="Y6" t="str">
            <v>OPERATOR</v>
          </cell>
          <cell r="Z6" t="str">
            <v>PEMBANTU</v>
          </cell>
          <cell r="AA6" t="str">
            <v>BIAYA</v>
          </cell>
          <cell r="AB6" t="str">
            <v>SEWA ALAT</v>
          </cell>
          <cell r="AM6" t="str">
            <v>(di luar PPN)</v>
          </cell>
        </row>
        <row r="7">
          <cell r="J7" t="str">
            <v>ALAT</v>
          </cell>
          <cell r="K7" t="str">
            <v>1 TAHUN</v>
          </cell>
          <cell r="L7" t="str">
            <v>ALAT</v>
          </cell>
          <cell r="N7" t="str">
            <v>MODAL</v>
          </cell>
          <cell r="O7" t="str">
            <v>BALIAN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  <cell r="W7" t="str">
            <v>KOEF.</v>
          </cell>
          <cell r="X7" t="str">
            <v>BIAYA</v>
          </cell>
          <cell r="Y7" t="str">
            <v>/ SOPIR</v>
          </cell>
          <cell r="Z7" t="str">
            <v>OPERATOR</v>
          </cell>
          <cell r="AA7" t="str">
            <v>OPERASI</v>
          </cell>
          <cell r="AB7" t="str">
            <v>PER</v>
          </cell>
        </row>
        <row r="8"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  <cell r="L8" t="str">
            <v>No. PAKET KONTRAK</v>
          </cell>
          <cell r="O8" t="str">
            <v>MODAL</v>
          </cell>
          <cell r="Z8" t="str">
            <v>/ SOPIR</v>
          </cell>
          <cell r="AA8" t="str">
            <v>/ JAM</v>
          </cell>
          <cell r="AB8" t="str">
            <v>JAM KERJA</v>
          </cell>
          <cell r="AE8" t="str">
            <v>1.</v>
          </cell>
          <cell r="AG8" t="str">
            <v>ASPHALT MIXING PLANT</v>
          </cell>
          <cell r="AH8" t="str">
            <v>E01</v>
          </cell>
          <cell r="AI8">
            <v>150</v>
          </cell>
          <cell r="AJ8">
            <v>30</v>
          </cell>
          <cell r="AK8" t="str">
            <v>T/Jam</v>
          </cell>
          <cell r="AL8">
            <v>1500000000</v>
          </cell>
          <cell r="AM8">
            <v>839246.43</v>
          </cell>
          <cell r="AN8" t="str">
            <v xml:space="preserve"> Alat baru</v>
          </cell>
        </row>
        <row r="9"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K9" t="str">
            <v>(Jam)</v>
          </cell>
          <cell r="L9" t="str">
            <v>(Rp.)</v>
          </cell>
          <cell r="M9" t="str">
            <v>(Rp.)</v>
          </cell>
          <cell r="N9" t="str">
            <v>-</v>
          </cell>
          <cell r="O9" t="str">
            <v>(Rp.)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  <cell r="W9" t="str">
            <v>-</v>
          </cell>
          <cell r="X9" t="str">
            <v>(Rp.)</v>
          </cell>
          <cell r="Y9" t="str">
            <v>(Rp.)</v>
          </cell>
          <cell r="Z9" t="str">
            <v>(Rp.)</v>
          </cell>
          <cell r="AA9" t="str">
            <v>(Rp.)</v>
          </cell>
          <cell r="AB9" t="str">
            <v>(Rp.)</v>
          </cell>
          <cell r="AC9" t="str">
            <v>KET.</v>
          </cell>
          <cell r="AE9" t="str">
            <v>2.</v>
          </cell>
          <cell r="AG9" t="str">
            <v>ASPHALT FINISHER</v>
          </cell>
          <cell r="AH9" t="str">
            <v>E02</v>
          </cell>
          <cell r="AI9">
            <v>47</v>
          </cell>
          <cell r="AJ9">
            <v>6</v>
          </cell>
          <cell r="AK9" t="str">
            <v>Ton</v>
          </cell>
          <cell r="AL9">
            <v>750000000</v>
          </cell>
          <cell r="AM9">
            <v>173395.18</v>
          </cell>
          <cell r="AN9" t="str">
            <v xml:space="preserve"> Alat baru</v>
          </cell>
        </row>
        <row r="10">
          <cell r="B10" t="str">
            <v>No.</v>
          </cell>
          <cell r="C10" t="str">
            <v>JENIS PERALATAN</v>
          </cell>
          <cell r="E10" t="str">
            <v>KODE</v>
          </cell>
          <cell r="F10">
            <v>25000</v>
          </cell>
          <cell r="G10">
            <v>25</v>
          </cell>
          <cell r="H10" t="str">
            <v xml:space="preserve"> Ke Lokasi Pek.</v>
          </cell>
          <cell r="L10" t="str">
            <v>KABUPATEN</v>
          </cell>
          <cell r="O10" t="str">
            <v>:  Lampung Timur</v>
          </cell>
          <cell r="T10" t="str">
            <v>f1 x HP x</v>
          </cell>
          <cell r="Y10" t="str">
            <v>1 Orang</v>
          </cell>
          <cell r="Z10" t="str">
            <v>1 Orang</v>
          </cell>
          <cell r="AE10" t="str">
            <v>3.</v>
          </cell>
          <cell r="AG10" t="str">
            <v>ASPHALT SPRAYER</v>
          </cell>
          <cell r="AH10" t="str">
            <v>E03</v>
          </cell>
          <cell r="AI10">
            <v>15</v>
          </cell>
          <cell r="AJ10">
            <v>800</v>
          </cell>
          <cell r="AK10" t="str">
            <v>Liter</v>
          </cell>
          <cell r="AL10">
            <v>60000000</v>
          </cell>
          <cell r="AM10">
            <v>24722.73</v>
          </cell>
          <cell r="AN10" t="str">
            <v xml:space="preserve"> Alat baru</v>
          </cell>
        </row>
        <row r="11">
          <cell r="C11" t="str">
            <v>Lokasi pekerjaan : 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(B - C) x D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  <cell r="W11" t="str">
            <v>0.125</v>
          </cell>
          <cell r="X11" t="str">
            <v>(g1 x B')</v>
          </cell>
          <cell r="Y11" t="str">
            <v>Per</v>
          </cell>
          <cell r="Z11" t="str">
            <v>Per</v>
          </cell>
          <cell r="AE11" t="str">
            <v>4.</v>
          </cell>
          <cell r="AG11" t="str">
            <v>BULLDOZER 100-150 HP</v>
          </cell>
          <cell r="AH11" t="str">
            <v>E04</v>
          </cell>
          <cell r="AI11">
            <v>140</v>
          </cell>
          <cell r="AJ11" t="str">
            <v xml:space="preserve">          -</v>
          </cell>
          <cell r="AK11" t="str">
            <v/>
          </cell>
          <cell r="AL11">
            <v>550000000</v>
          </cell>
          <cell r="AM11">
            <v>178010.43</v>
          </cell>
          <cell r="AN11" t="str">
            <v xml:space="preserve"> Alat baru</v>
          </cell>
        </row>
        <row r="12">
          <cell r="C12" t="str">
            <v>M03  -  Agregate Kasar , untuk  Base.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-----------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  <cell r="W12" t="str">
            <v>s / d</v>
          </cell>
          <cell r="X12" t="str">
            <v>-----------</v>
          </cell>
          <cell r="Y12" t="str">
            <v>Jam Kerja</v>
          </cell>
          <cell r="Z12" t="str">
            <v>Jam Kerja</v>
          </cell>
          <cell r="AA12" t="str">
            <v>F+G+H+I</v>
          </cell>
          <cell r="AB12" t="str">
            <v>E + J</v>
          </cell>
          <cell r="AE12" t="str">
            <v>5.</v>
          </cell>
          <cell r="AG12" t="str">
            <v>COMPRESSOR 4000-6500 L\M</v>
          </cell>
          <cell r="AH12" t="str">
            <v>E05</v>
          </cell>
          <cell r="AI12">
            <v>80</v>
          </cell>
          <cell r="AJ12" t="str">
            <v xml:space="preserve">          -</v>
          </cell>
          <cell r="AK12" t="str">
            <v/>
          </cell>
          <cell r="AL12">
            <v>50000000</v>
          </cell>
          <cell r="AM12">
            <v>47770.43</v>
          </cell>
          <cell r="AN12" t="str">
            <v xml:space="preserve"> Alat baru</v>
          </cell>
        </row>
        <row r="13"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W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  <cell r="W13" t="str">
            <v>0.175</v>
          </cell>
          <cell r="X13" t="str">
            <v>W</v>
          </cell>
          <cell r="Y13" t="str">
            <v>=</v>
          </cell>
          <cell r="Z13" t="str">
            <v>=</v>
          </cell>
          <cell r="AE13" t="str">
            <v>6.</v>
          </cell>
          <cell r="AG13" t="str">
            <v>CONCRETE MIXER 0.3-0.6 M3</v>
          </cell>
          <cell r="AH13" t="str">
            <v>E06</v>
          </cell>
          <cell r="AI13">
            <v>15</v>
          </cell>
          <cell r="AJ13">
            <v>500</v>
          </cell>
          <cell r="AK13" t="str">
            <v>Liter</v>
          </cell>
          <cell r="AL13">
            <v>30000000</v>
          </cell>
          <cell r="AM13">
            <v>19003.98</v>
          </cell>
          <cell r="AN13" t="str">
            <v xml:space="preserve"> Alat baru</v>
          </cell>
        </row>
        <row r="14">
          <cell r="C14" t="str">
            <v>M03a.- Agregate Kasar untuk Lapen / Cor</v>
          </cell>
          <cell r="E14" t="str">
            <v>M3</v>
          </cell>
          <cell r="F14">
            <v>65000</v>
          </cell>
          <cell r="G14">
            <v>50</v>
          </cell>
          <cell r="H14" t="str">
            <v xml:space="preserve"> Ke Lokasi Pek.</v>
          </cell>
          <cell r="I14" t="str">
            <v>-</v>
          </cell>
          <cell r="T14" t="str">
            <v>Harga Olie</v>
          </cell>
          <cell r="Y14">
            <v>3571.43</v>
          </cell>
          <cell r="Z14">
            <v>2500</v>
          </cell>
          <cell r="AE14" t="str">
            <v>7.</v>
          </cell>
          <cell r="AG14" t="str">
            <v>CRANE 10-15 TON</v>
          </cell>
          <cell r="AH14" t="str">
            <v>E07</v>
          </cell>
          <cell r="AI14">
            <v>150</v>
          </cell>
          <cell r="AJ14">
            <v>15</v>
          </cell>
          <cell r="AK14" t="str">
            <v>Ton</v>
          </cell>
          <cell r="AL14">
            <v>350000000</v>
          </cell>
          <cell r="AM14">
            <v>139089.43</v>
          </cell>
          <cell r="AN14" t="str">
            <v xml:space="preserve"> Alat baru</v>
          </cell>
        </row>
        <row r="15">
          <cell r="C15" t="str">
            <v>Faktor kembang material (Padat-Lepas)</v>
          </cell>
          <cell r="F15" t="str">
            <v>HP</v>
          </cell>
          <cell r="G15" t="str">
            <v>Cp</v>
          </cell>
          <cell r="H15">
            <v>1.6667000000000001</v>
          </cell>
          <cell r="I15" t="str">
            <v>B</v>
          </cell>
          <cell r="J15" t="str">
            <v>A</v>
          </cell>
          <cell r="K15" t="str">
            <v>W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  <cell r="W15" t="str">
            <v>g1</v>
          </cell>
          <cell r="X15" t="str">
            <v>G</v>
          </cell>
          <cell r="Y15" t="str">
            <v>H</v>
          </cell>
          <cell r="Z15" t="str">
            <v>I</v>
          </cell>
          <cell r="AA15" t="str">
            <v>J</v>
          </cell>
          <cell r="AB15" t="str">
            <v>K</v>
          </cell>
          <cell r="AC15" t="str">
            <v>L</v>
          </cell>
          <cell r="AE15" t="str">
            <v>8.</v>
          </cell>
          <cell r="AG15" t="str">
            <v>DUMP TRUCK 3-4 M3</v>
          </cell>
          <cell r="AH15" t="str">
            <v>E08</v>
          </cell>
          <cell r="AI15">
            <v>100</v>
          </cell>
          <cell r="AJ15">
            <v>6</v>
          </cell>
          <cell r="AK15" t="str">
            <v>Ton</v>
          </cell>
          <cell r="AL15">
            <v>175000000</v>
          </cell>
          <cell r="AM15">
            <v>82267.929999999993</v>
          </cell>
          <cell r="AN15" t="str">
            <v xml:space="preserve"> Alat baru</v>
          </cell>
        </row>
        <row r="16">
          <cell r="B16" t="str">
            <v>1</v>
          </cell>
          <cell r="C16" t="str">
            <v>2</v>
          </cell>
          <cell r="E16" t="str">
            <v>2a</v>
          </cell>
          <cell r="F16" t="str">
            <v>3</v>
          </cell>
          <cell r="G16" t="str">
            <v>4</v>
          </cell>
          <cell r="H16" t="str">
            <v xml:space="preserve"> Ke Base Camp.</v>
          </cell>
          <cell r="I16" t="str">
            <v>5</v>
          </cell>
          <cell r="J16" t="str">
            <v>6</v>
          </cell>
          <cell r="K16" t="str">
            <v>7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13</v>
          </cell>
          <cell r="R16" t="str">
            <v>14</v>
          </cell>
          <cell r="S16" t="str">
            <v>15</v>
          </cell>
          <cell r="T16" t="str">
            <v>16</v>
          </cell>
          <cell r="U16" t="str">
            <v>17</v>
          </cell>
          <cell r="V16" t="str">
            <v>18</v>
          </cell>
          <cell r="W16" t="str">
            <v>17</v>
          </cell>
          <cell r="X16" t="str">
            <v>18</v>
          </cell>
          <cell r="Y16" t="str">
            <v>19</v>
          </cell>
          <cell r="Z16" t="str">
            <v>20</v>
          </cell>
          <cell r="AA16" t="str">
            <v>21</v>
          </cell>
          <cell r="AB16" t="str">
            <v>22</v>
          </cell>
          <cell r="AC16" t="str">
            <v>23</v>
          </cell>
          <cell r="AE16" t="str">
            <v>9.</v>
          </cell>
          <cell r="AG16" t="str">
            <v>DUMP TRUCK</v>
          </cell>
          <cell r="AH16" t="str">
            <v>E09</v>
          </cell>
          <cell r="AI16">
            <v>125</v>
          </cell>
          <cell r="AJ16">
            <v>8</v>
          </cell>
          <cell r="AK16" t="str">
            <v>Ton</v>
          </cell>
          <cell r="AL16">
            <v>225000000</v>
          </cell>
          <cell r="AM16">
            <v>102654.43</v>
          </cell>
          <cell r="AN16" t="str">
            <v xml:space="preserve"> Alat baru</v>
          </cell>
        </row>
        <row r="17">
          <cell r="C17" t="str">
            <v>Penggalian dilakukan dengan menggunakan Excavator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SATUAN</v>
          </cell>
          <cell r="S17" t="str">
            <v>HARGA</v>
          </cell>
          <cell r="AE17" t="str">
            <v>10.</v>
          </cell>
          <cell r="AG17" t="str">
            <v>EXCAVATOR 80-140 HP</v>
          </cell>
          <cell r="AH17" t="str">
            <v>E10</v>
          </cell>
          <cell r="AI17">
            <v>80</v>
          </cell>
          <cell r="AJ17">
            <v>0.5</v>
          </cell>
          <cell r="AK17" t="str">
            <v>M3</v>
          </cell>
          <cell r="AL17">
            <v>1000000000</v>
          </cell>
          <cell r="AM17">
            <v>251051.43</v>
          </cell>
          <cell r="AN17" t="str">
            <v xml:space="preserve"> Alat baru</v>
          </cell>
        </row>
        <row r="18">
          <cell r="B18" t="str">
            <v>1.</v>
          </cell>
          <cell r="C18" t="str">
            <v xml:space="preserve">M04a.- Agregate Halus untuk Lapen </v>
          </cell>
          <cell r="D18" t="str">
            <v>ASPHALT MIXING PLANT</v>
          </cell>
          <cell r="E18" t="str">
            <v>E01</v>
          </cell>
          <cell r="F18">
            <v>150</v>
          </cell>
          <cell r="G18">
            <v>30</v>
          </cell>
          <cell r="H18" t="str">
            <v>T/Jam</v>
          </cell>
          <cell r="I18">
            <v>1500000000</v>
          </cell>
          <cell r="J18">
            <v>10</v>
          </cell>
          <cell r="K18">
            <v>1500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>
            <v>0.125</v>
          </cell>
          <cell r="S18">
            <v>0.01</v>
          </cell>
          <cell r="T18">
            <v>486525</v>
          </cell>
          <cell r="U18">
            <v>0</v>
          </cell>
          <cell r="V18">
            <v>0</v>
          </cell>
          <cell r="W18">
            <v>0.125</v>
          </cell>
          <cell r="X18">
            <v>125000</v>
          </cell>
          <cell r="Y18">
            <v>3571.43</v>
          </cell>
          <cell r="Z18">
            <v>7500</v>
          </cell>
          <cell r="AA18">
            <v>622596.43000000005</v>
          </cell>
          <cell r="AB18">
            <v>839246.43</v>
          </cell>
          <cell r="AC18" t="str">
            <v xml:space="preserve"> Alat baru</v>
          </cell>
          <cell r="AE18" t="str">
            <v>11.</v>
          </cell>
          <cell r="AG18" t="str">
            <v>FLAT BED TRUCK 3-4 M3</v>
          </cell>
          <cell r="AH18" t="str">
            <v>E11</v>
          </cell>
          <cell r="AI18">
            <v>100</v>
          </cell>
          <cell r="AJ18">
            <v>4</v>
          </cell>
          <cell r="AK18" t="str">
            <v>M3</v>
          </cell>
          <cell r="AL18">
            <v>100000000</v>
          </cell>
          <cell r="AM18">
            <v>66219.429999999993</v>
          </cell>
          <cell r="AN18" t="str">
            <v xml:space="preserve"> Alat baru</v>
          </cell>
        </row>
        <row r="19"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  <cell r="I19">
            <v>750000000</v>
          </cell>
          <cell r="J19">
            <v>6</v>
          </cell>
          <cell r="K19">
            <v>2000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  <cell r="W19">
            <v>0.125</v>
          </cell>
          <cell r="X19">
            <v>46875</v>
          </cell>
          <cell r="Y19">
            <v>3571.43</v>
          </cell>
          <cell r="Z19">
            <v>2500</v>
          </cell>
          <cell r="AA19">
            <v>71158.929999999993</v>
          </cell>
          <cell r="AB19">
            <v>173395.18</v>
          </cell>
          <cell r="AC19" t="str">
            <v xml:space="preserve"> Alat baru</v>
          </cell>
          <cell r="AE19" t="str">
            <v>12.</v>
          </cell>
          <cell r="AG19" t="str">
            <v>GENERATOR SET</v>
          </cell>
          <cell r="AH19" t="str">
            <v>E12</v>
          </cell>
          <cell r="AI19">
            <v>175</v>
          </cell>
          <cell r="AJ19">
            <v>125</v>
          </cell>
          <cell r="AK19" t="str">
            <v>KVA</v>
          </cell>
          <cell r="AL19">
            <v>40000000</v>
          </cell>
          <cell r="AM19">
            <v>82443.12999999999</v>
          </cell>
          <cell r="AN19" t="str">
            <v xml:space="preserve"> Alat baru</v>
          </cell>
        </row>
        <row r="20">
          <cell r="B20" t="str">
            <v>3.</v>
          </cell>
          <cell r="C20" t="str">
            <v>M06a - Batu Belah 10/15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K20">
            <v>2000</v>
          </cell>
          <cell r="L20">
            <v>60000000</v>
          </cell>
          <cell r="M20">
            <v>6000000</v>
          </cell>
          <cell r="N20">
            <v>0.33439999999999998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  <cell r="W20">
            <v>0.125</v>
          </cell>
          <cell r="X20">
            <v>3750</v>
          </cell>
          <cell r="Y20">
            <v>3571.43</v>
          </cell>
          <cell r="Z20">
            <v>2500</v>
          </cell>
          <cell r="AA20">
            <v>15633.93</v>
          </cell>
          <cell r="AB20">
            <v>24722.73</v>
          </cell>
          <cell r="AC20" t="str">
            <v xml:space="preserve"> Alat baru</v>
          </cell>
          <cell r="AE20" t="str">
            <v>13.</v>
          </cell>
          <cell r="AG20" t="str">
            <v>MOTOR GRADER &gt;100 HP</v>
          </cell>
          <cell r="AH20" t="str">
            <v>E13</v>
          </cell>
          <cell r="AI20">
            <v>125</v>
          </cell>
          <cell r="AJ20" t="str">
            <v xml:space="preserve">          -</v>
          </cell>
          <cell r="AK20" t="str">
            <v/>
          </cell>
          <cell r="AL20">
            <v>600000000</v>
          </cell>
          <cell r="AM20">
            <v>182896.93</v>
          </cell>
          <cell r="AN20" t="str">
            <v xml:space="preserve"> Alat baru</v>
          </cell>
        </row>
        <row r="21"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 xml:space="preserve">          -</v>
          </cell>
          <cell r="H21" t="str">
            <v/>
          </cell>
          <cell r="I21">
            <v>550000000</v>
          </cell>
          <cell r="J21">
            <v>5</v>
          </cell>
          <cell r="K21">
            <v>2000</v>
          </cell>
          <cell r="L21">
            <v>550000000</v>
          </cell>
          <cell r="M21">
            <v>55000000</v>
          </cell>
          <cell r="N21">
            <v>0.33439999999999998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  <cell r="W21">
            <v>0.125</v>
          </cell>
          <cell r="X21">
            <v>34375</v>
          </cell>
          <cell r="Y21">
            <v>3571.43</v>
          </cell>
          <cell r="Z21">
            <v>2500</v>
          </cell>
          <cell r="AA21">
            <v>94696.43</v>
          </cell>
          <cell r="AB21">
            <v>178010.43</v>
          </cell>
          <cell r="AC21" t="str">
            <v xml:space="preserve"> Alat baru</v>
          </cell>
          <cell r="AE21" t="str">
            <v>14.</v>
          </cell>
          <cell r="AG21" t="str">
            <v>TRACK LOADER 75-100 HP</v>
          </cell>
          <cell r="AH21" t="str">
            <v>E14</v>
          </cell>
          <cell r="AI21">
            <v>90</v>
          </cell>
          <cell r="AJ21">
            <v>1.6</v>
          </cell>
          <cell r="AK21" t="str">
            <v>M3</v>
          </cell>
          <cell r="AL21">
            <v>0</v>
          </cell>
          <cell r="AM21">
            <v>0</v>
          </cell>
          <cell r="AN21">
            <v>0</v>
          </cell>
        </row>
        <row r="22">
          <cell r="B22" t="str">
            <v>5.</v>
          </cell>
          <cell r="C22" t="str">
            <v>M06b - Batu Belah  5/7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 xml:space="preserve">          -</v>
          </cell>
          <cell r="H22" t="str">
            <v/>
          </cell>
          <cell r="I22">
            <v>50000000</v>
          </cell>
          <cell r="J22">
            <v>5</v>
          </cell>
          <cell r="K22">
            <v>2000</v>
          </cell>
          <cell r="L22">
            <v>50000000</v>
          </cell>
          <cell r="M22">
            <v>5000000</v>
          </cell>
          <cell r="N22">
            <v>0.33439999999999998</v>
          </cell>
          <cell r="O22">
            <v>7524</v>
          </cell>
          <cell r="P22">
            <v>50</v>
          </cell>
          <cell r="Q22">
            <v>7574</v>
          </cell>
          <cell r="R22">
            <v>0.125</v>
          </cell>
          <cell r="S22">
            <v>0.01</v>
          </cell>
          <cell r="T22">
            <v>31000</v>
          </cell>
          <cell r="U22">
            <v>0</v>
          </cell>
          <cell r="V22">
            <v>0</v>
          </cell>
          <cell r="W22">
            <v>0.125</v>
          </cell>
          <cell r="X22">
            <v>3125</v>
          </cell>
          <cell r="Y22">
            <v>3571.43</v>
          </cell>
          <cell r="Z22">
            <v>2500</v>
          </cell>
          <cell r="AA22">
            <v>40196.43</v>
          </cell>
          <cell r="AB22">
            <v>47770.43</v>
          </cell>
          <cell r="AC22" t="str">
            <v xml:space="preserve"> Alat baru</v>
          </cell>
          <cell r="AE22" t="str">
            <v>15.</v>
          </cell>
          <cell r="AG22" t="str">
            <v>WHEEL LOADER 1.0-1.6 M3</v>
          </cell>
          <cell r="AH22" t="str">
            <v>E15</v>
          </cell>
          <cell r="AI22">
            <v>105</v>
          </cell>
          <cell r="AJ22">
            <v>1.5</v>
          </cell>
          <cell r="AK22" t="str">
            <v>M3</v>
          </cell>
          <cell r="AL22">
            <v>450000000</v>
          </cell>
          <cell r="AM22">
            <v>143049.93</v>
          </cell>
          <cell r="AN22" t="str">
            <v xml:space="preserve"> Alat baru</v>
          </cell>
        </row>
        <row r="23"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K23">
            <v>2000</v>
          </cell>
          <cell r="L23">
            <v>30000000</v>
          </cell>
          <cell r="M23">
            <v>3000000</v>
          </cell>
          <cell r="N23">
            <v>0.38629999999999998</v>
          </cell>
          <cell r="O23">
            <v>5215.05</v>
          </cell>
          <cell r="P23">
            <v>30</v>
          </cell>
          <cell r="Q23">
            <v>5245.05</v>
          </cell>
          <cell r="R23">
            <v>0.125</v>
          </cell>
          <cell r="S23">
            <v>0.01</v>
          </cell>
          <cell r="T23">
            <v>5812.5</v>
          </cell>
          <cell r="U23">
            <v>0</v>
          </cell>
          <cell r="V23">
            <v>0</v>
          </cell>
          <cell r="W23">
            <v>0.125</v>
          </cell>
          <cell r="X23">
            <v>1875</v>
          </cell>
          <cell r="Y23">
            <v>3571.43</v>
          </cell>
          <cell r="Z23">
            <v>2500</v>
          </cell>
          <cell r="AA23">
            <v>13758.93</v>
          </cell>
          <cell r="AB23">
            <v>19003.98</v>
          </cell>
          <cell r="AC23" t="str">
            <v xml:space="preserve"> Alat baru</v>
          </cell>
          <cell r="AE23" t="str">
            <v>16.</v>
          </cell>
          <cell r="AG23" t="str">
            <v>THREE WHEEL ROLLER 6-8 T</v>
          </cell>
          <cell r="AH23" t="str">
            <v>E16</v>
          </cell>
          <cell r="AI23">
            <v>55</v>
          </cell>
          <cell r="AJ23">
            <v>8</v>
          </cell>
          <cell r="AK23" t="str">
            <v>Ton</v>
          </cell>
          <cell r="AL23">
            <v>200000000</v>
          </cell>
          <cell r="AM23">
            <v>70179.929999999993</v>
          </cell>
          <cell r="AN23" t="str">
            <v xml:space="preserve"> Alat baru</v>
          </cell>
        </row>
        <row r="24">
          <cell r="B24" t="str">
            <v>7.</v>
          </cell>
          <cell r="C24" t="str">
            <v>M16  -  Krakal/Sirtu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K24">
            <v>2000</v>
          </cell>
          <cell r="L24">
            <v>350000000</v>
          </cell>
          <cell r="M24">
            <v>35000000</v>
          </cell>
          <cell r="N24">
            <v>0.33439999999999998</v>
          </cell>
          <cell r="O24">
            <v>52668</v>
          </cell>
          <cell r="P24">
            <v>350</v>
          </cell>
          <cell r="Q24">
            <v>53018</v>
          </cell>
          <cell r="R24">
            <v>0.125</v>
          </cell>
          <cell r="S24">
            <v>0.01</v>
          </cell>
          <cell r="T24">
            <v>58125</v>
          </cell>
          <cell r="U24">
            <v>0</v>
          </cell>
          <cell r="V24">
            <v>0</v>
          </cell>
          <cell r="W24">
            <v>0.125</v>
          </cell>
          <cell r="X24">
            <v>21875</v>
          </cell>
          <cell r="Y24">
            <v>3571.43</v>
          </cell>
          <cell r="Z24">
            <v>2500</v>
          </cell>
          <cell r="AA24">
            <v>86071.43</v>
          </cell>
          <cell r="AB24">
            <v>139089.43</v>
          </cell>
          <cell r="AC24" t="str">
            <v xml:space="preserve"> Alat baru</v>
          </cell>
          <cell r="AE24" t="str">
            <v>17.</v>
          </cell>
          <cell r="AG24" t="str">
            <v>TANDEM ROLLER 6-8 T.</v>
          </cell>
          <cell r="AH24" t="str">
            <v>E17</v>
          </cell>
          <cell r="AI24">
            <v>50</v>
          </cell>
          <cell r="AJ24">
            <v>8</v>
          </cell>
          <cell r="AK24" t="str">
            <v>Ton</v>
          </cell>
          <cell r="AL24">
            <v>200000000</v>
          </cell>
          <cell r="AM24">
            <v>68242.429999999993</v>
          </cell>
          <cell r="AN24" t="str">
            <v xml:space="preserve"> Alat baru</v>
          </cell>
        </row>
        <row r="25"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K25">
            <v>2000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  <cell r="W25">
            <v>0.125</v>
          </cell>
          <cell r="X25">
            <v>10937.5</v>
          </cell>
          <cell r="Y25">
            <v>3571.43</v>
          </cell>
          <cell r="Z25">
            <v>2500</v>
          </cell>
          <cell r="AA25">
            <v>55758.93</v>
          </cell>
          <cell r="AB25">
            <v>82267.929999999993</v>
          </cell>
          <cell r="AC25" t="str">
            <v xml:space="preserve"> Alat baru</v>
          </cell>
          <cell r="AE25" t="str">
            <v>18.</v>
          </cell>
          <cell r="AG25" t="str">
            <v>TIRE ROLLER 8-10 T.</v>
          </cell>
          <cell r="AH25" t="str">
            <v>E18</v>
          </cell>
          <cell r="AI25">
            <v>60</v>
          </cell>
          <cell r="AJ25">
            <v>10</v>
          </cell>
          <cell r="AK25" t="str">
            <v>Ton</v>
          </cell>
          <cell r="AL25">
            <v>225000000</v>
          </cell>
          <cell r="AM25">
            <v>82816.429999999993</v>
          </cell>
          <cell r="AN25" t="str">
            <v xml:space="preserve"> Alat baru</v>
          </cell>
        </row>
        <row r="26">
          <cell r="B26" t="str">
            <v>9.</v>
          </cell>
          <cell r="C26" t="str">
            <v>M44  -  P a s i r urug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K26">
            <v>2000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>
            <v>34083</v>
          </cell>
          <cell r="R26">
            <v>0.125</v>
          </cell>
          <cell r="S26">
            <v>0.01</v>
          </cell>
          <cell r="T26">
            <v>48437.5</v>
          </cell>
          <cell r="U26">
            <v>0</v>
          </cell>
          <cell r="V26">
            <v>0</v>
          </cell>
          <cell r="W26">
            <v>0.125</v>
          </cell>
          <cell r="X26">
            <v>14062.5</v>
          </cell>
          <cell r="Y26">
            <v>3571.43</v>
          </cell>
          <cell r="Z26">
            <v>2500</v>
          </cell>
          <cell r="AA26">
            <v>68571.429999999993</v>
          </cell>
          <cell r="AB26">
            <v>102654.43</v>
          </cell>
          <cell r="AC26" t="str">
            <v xml:space="preserve"> Alat baru</v>
          </cell>
          <cell r="AE26" t="str">
            <v>19.</v>
          </cell>
          <cell r="AG26" t="str">
            <v>VIBRATORY ROLLER 5-8 T.</v>
          </cell>
          <cell r="AH26" t="str">
            <v>E19</v>
          </cell>
          <cell r="AI26">
            <v>75</v>
          </cell>
          <cell r="AJ26">
            <v>7</v>
          </cell>
          <cell r="AK26" t="str">
            <v>Ton</v>
          </cell>
          <cell r="AL26">
            <v>300000000</v>
          </cell>
          <cell r="AM26">
            <v>106334.43</v>
          </cell>
          <cell r="AN26" t="str">
            <v xml:space="preserve"> Alat baru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K27">
            <v>2000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>
            <v>0.125</v>
          </cell>
          <cell r="S27">
            <v>0.01</v>
          </cell>
          <cell r="T27">
            <v>31000</v>
          </cell>
          <cell r="U27">
            <v>0</v>
          </cell>
          <cell r="V27">
            <v>0</v>
          </cell>
          <cell r="W27">
            <v>0.125</v>
          </cell>
          <cell r="X27">
            <v>62500</v>
          </cell>
          <cell r="Y27">
            <v>3571.43</v>
          </cell>
          <cell r="Z27">
            <v>2500</v>
          </cell>
          <cell r="AA27">
            <v>99571.43</v>
          </cell>
          <cell r="AB27">
            <v>251051.43</v>
          </cell>
          <cell r="AC27" t="str">
            <v xml:space="preserve"> Alat baru</v>
          </cell>
          <cell r="AE27" t="str">
            <v>20.</v>
          </cell>
          <cell r="AG27" t="str">
            <v>CONCRETE VIBRATOR</v>
          </cell>
          <cell r="AH27" t="str">
            <v>E20</v>
          </cell>
          <cell r="AI27">
            <v>10</v>
          </cell>
          <cell r="AJ27" t="str">
            <v xml:space="preserve">          -</v>
          </cell>
          <cell r="AK27" t="str">
            <v/>
          </cell>
          <cell r="AL27">
            <v>20000000</v>
          </cell>
          <cell r="AM27">
            <v>19439.830000000002</v>
          </cell>
          <cell r="AN27" t="str">
            <v xml:space="preserve"> Alat baru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K28">
            <v>2000</v>
          </cell>
          <cell r="L28">
            <v>100000000</v>
          </cell>
          <cell r="M28">
            <v>10000000</v>
          </cell>
          <cell r="N28">
            <v>0.33439999999999998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  <cell r="W28">
            <v>0.125</v>
          </cell>
          <cell r="X28">
            <v>6250</v>
          </cell>
          <cell r="Y28">
            <v>3571.43</v>
          </cell>
          <cell r="Z28">
            <v>2500</v>
          </cell>
          <cell r="AA28">
            <v>51071.43</v>
          </cell>
          <cell r="AB28">
            <v>66219.429999999993</v>
          </cell>
          <cell r="AC28" t="str">
            <v xml:space="preserve"> Alat baru</v>
          </cell>
          <cell r="AE28" t="str">
            <v>21.</v>
          </cell>
          <cell r="AG28" t="str">
            <v>STONE CRUSHER</v>
          </cell>
          <cell r="AH28" t="str">
            <v>E21</v>
          </cell>
          <cell r="AI28">
            <v>220</v>
          </cell>
          <cell r="AJ28">
            <v>30</v>
          </cell>
          <cell r="AK28" t="str">
            <v>T/Jam</v>
          </cell>
          <cell r="AL28">
            <v>1400000000</v>
          </cell>
          <cell r="AM28">
            <v>393393.43</v>
          </cell>
          <cell r="AN28" t="str">
            <v xml:space="preserve"> Alat baru</v>
          </cell>
        </row>
        <row r="29"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K29">
            <v>2000</v>
          </cell>
          <cell r="L29">
            <v>40000000</v>
          </cell>
          <cell r="M29">
            <v>4000000</v>
          </cell>
          <cell r="N29">
            <v>0.33439999999999998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  <cell r="W29">
            <v>0.125</v>
          </cell>
          <cell r="X29">
            <v>2500</v>
          </cell>
          <cell r="Y29">
            <v>3571.43</v>
          </cell>
          <cell r="Z29">
            <v>2500</v>
          </cell>
          <cell r="AA29">
            <v>76383.929999999993</v>
          </cell>
          <cell r="AB29">
            <v>82443.12999999999</v>
          </cell>
          <cell r="AC29" t="str">
            <v xml:space="preserve"> Alat baru</v>
          </cell>
          <cell r="AE29" t="str">
            <v>22.</v>
          </cell>
          <cell r="AG29" t="str">
            <v>WATER PUMP 70-100 mm</v>
          </cell>
          <cell r="AH29" t="str">
            <v>E22</v>
          </cell>
          <cell r="AI29">
            <v>6</v>
          </cell>
          <cell r="AJ29" t="str">
            <v xml:space="preserve">          -</v>
          </cell>
          <cell r="AK29" t="str">
            <v/>
          </cell>
          <cell r="AL29">
            <v>10000000</v>
          </cell>
          <cell r="AM29">
            <v>11976.68</v>
          </cell>
          <cell r="AN29" t="str">
            <v xml:space="preserve"> Alat baru</v>
          </cell>
        </row>
        <row r="30"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 xml:space="preserve">          -</v>
          </cell>
          <cell r="H30" t="str">
            <v/>
          </cell>
          <cell r="I30">
            <v>600000000</v>
          </cell>
          <cell r="J30">
            <v>5</v>
          </cell>
          <cell r="K30">
            <v>2000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  <cell r="W30">
            <v>0.125</v>
          </cell>
          <cell r="X30">
            <v>37500</v>
          </cell>
          <cell r="Y30">
            <v>3571.43</v>
          </cell>
          <cell r="Z30">
            <v>2500</v>
          </cell>
          <cell r="AA30">
            <v>92008.93</v>
          </cell>
          <cell r="AB30">
            <v>182896.93</v>
          </cell>
          <cell r="AC30" t="str">
            <v xml:space="preserve"> Alat baru</v>
          </cell>
          <cell r="AE30" t="str">
            <v>23.</v>
          </cell>
          <cell r="AG30" t="str">
            <v>WATER TANKER 3000-4500 L.</v>
          </cell>
          <cell r="AH30" t="str">
            <v>E23</v>
          </cell>
          <cell r="AI30">
            <v>100</v>
          </cell>
          <cell r="AJ30">
            <v>4000</v>
          </cell>
          <cell r="AK30" t="str">
            <v>Liter</v>
          </cell>
          <cell r="AL30">
            <v>175000000</v>
          </cell>
          <cell r="AM30">
            <v>82267.929999999993</v>
          </cell>
          <cell r="AN30" t="str">
            <v xml:space="preserve"> Alat baru</v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>
            <v>1.6</v>
          </cell>
          <cell r="H31" t="str">
            <v>M3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 t="str">
            <v>24.</v>
          </cell>
          <cell r="AG31" t="str">
            <v>PEDESTRIAN ROLLER</v>
          </cell>
          <cell r="AH31" t="str">
            <v>E24</v>
          </cell>
          <cell r="AI31">
            <v>11</v>
          </cell>
          <cell r="AJ31">
            <v>0.98</v>
          </cell>
          <cell r="AK31" t="str">
            <v>Ton</v>
          </cell>
          <cell r="AL31">
            <v>75000000</v>
          </cell>
          <cell r="AM31">
            <v>28134.059999999998</v>
          </cell>
          <cell r="AN31" t="str">
            <v xml:space="preserve"> Alat baru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>
            <v>1.5</v>
          </cell>
          <cell r="H32" t="str">
            <v>M3</v>
          </cell>
          <cell r="I32">
            <v>450000000</v>
          </cell>
          <cell r="J32">
            <v>5</v>
          </cell>
          <cell r="K32">
            <v>2000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  <cell r="W32">
            <v>0.125</v>
          </cell>
          <cell r="X32">
            <v>28125</v>
          </cell>
          <cell r="Y32">
            <v>3571.43</v>
          </cell>
          <cell r="Z32">
            <v>2500</v>
          </cell>
          <cell r="AA32">
            <v>74883.929999999993</v>
          </cell>
          <cell r="AB32">
            <v>143049.93</v>
          </cell>
          <cell r="AC32" t="str">
            <v xml:space="preserve"> Alat baru</v>
          </cell>
          <cell r="AE32" t="str">
            <v>25.</v>
          </cell>
          <cell r="AG32" t="str">
            <v>TAMPER</v>
          </cell>
          <cell r="AH32" t="str">
            <v>E25</v>
          </cell>
          <cell r="AI32">
            <v>5</v>
          </cell>
          <cell r="AJ32">
            <v>0.17</v>
          </cell>
          <cell r="AK32" t="str">
            <v>Ton</v>
          </cell>
          <cell r="AL32">
            <v>25000000</v>
          </cell>
          <cell r="AM32">
            <v>19875.68</v>
          </cell>
          <cell r="AN32" t="str">
            <v xml:space="preserve"> Alat baru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>
            <v>8</v>
          </cell>
          <cell r="H33" t="str">
            <v>Ton</v>
          </cell>
          <cell r="I33">
            <v>200000000</v>
          </cell>
          <cell r="J33">
            <v>5</v>
          </cell>
          <cell r="K33">
            <v>2000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  <cell r="W33">
            <v>0.125</v>
          </cell>
          <cell r="X33">
            <v>12500</v>
          </cell>
          <cell r="Y33">
            <v>3571.43</v>
          </cell>
          <cell r="Z33">
            <v>2500</v>
          </cell>
          <cell r="AA33">
            <v>39883.93</v>
          </cell>
          <cell r="AB33">
            <v>70179.929999999993</v>
          </cell>
          <cell r="AC33" t="str">
            <v xml:space="preserve"> Alat baru</v>
          </cell>
          <cell r="AE33" t="str">
            <v>26.</v>
          </cell>
          <cell r="AG33" t="str">
            <v>JACK HAMMER</v>
          </cell>
          <cell r="AH33" t="str">
            <v>E26</v>
          </cell>
          <cell r="AI33">
            <v>3</v>
          </cell>
          <cell r="AJ33" t="str">
            <v xml:space="preserve">          -</v>
          </cell>
          <cell r="AK33" t="str">
            <v/>
          </cell>
          <cell r="AL33">
            <v>0</v>
          </cell>
          <cell r="AM33">
            <v>0</v>
          </cell>
          <cell r="AN33">
            <v>0</v>
          </cell>
        </row>
        <row r="34"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K34">
            <v>2000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  <cell r="W34">
            <v>0.125</v>
          </cell>
          <cell r="X34">
            <v>12500</v>
          </cell>
          <cell r="Y34">
            <v>3571.43</v>
          </cell>
          <cell r="Z34">
            <v>2500</v>
          </cell>
          <cell r="AA34">
            <v>37946.43</v>
          </cell>
          <cell r="AB34">
            <v>68242.429999999993</v>
          </cell>
          <cell r="AC34" t="str">
            <v xml:space="preserve"> Alat baru</v>
          </cell>
          <cell r="AE34" t="str">
            <v>27.</v>
          </cell>
          <cell r="AG34" t="str">
            <v>FULVI MIXER</v>
          </cell>
          <cell r="AH34" t="str">
            <v>E27</v>
          </cell>
          <cell r="AI34">
            <v>75</v>
          </cell>
          <cell r="AJ34" t="str">
            <v xml:space="preserve">          -</v>
          </cell>
          <cell r="AK34" t="str">
            <v/>
          </cell>
          <cell r="AL34">
            <v>0</v>
          </cell>
          <cell r="AM34">
            <v>0</v>
          </cell>
          <cell r="AN34">
            <v>0</v>
          </cell>
        </row>
        <row r="35"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>
            <v>10</v>
          </cell>
          <cell r="H35" t="str">
            <v>Ton</v>
          </cell>
          <cell r="I35">
            <v>225000000</v>
          </cell>
          <cell r="J35">
            <v>5</v>
          </cell>
          <cell r="K35">
            <v>1800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>
            <v>37870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  <cell r="W35">
            <v>0.125</v>
          </cell>
          <cell r="X35">
            <v>15625</v>
          </cell>
          <cell r="Y35">
            <v>3571.43</v>
          </cell>
          <cell r="Z35">
            <v>2500</v>
          </cell>
          <cell r="AA35">
            <v>44946.43</v>
          </cell>
          <cell r="AB35">
            <v>82816.429999999993</v>
          </cell>
          <cell r="AC35" t="str">
            <v xml:space="preserve"> Alat baru</v>
          </cell>
          <cell r="AE35" t="str">
            <v>28.</v>
          </cell>
          <cell r="AG35" t="str">
            <v>CONCRETE PUMP</v>
          </cell>
          <cell r="AH35" t="str">
            <v>E28</v>
          </cell>
          <cell r="AI35">
            <v>100</v>
          </cell>
          <cell r="AJ35">
            <v>8</v>
          </cell>
          <cell r="AK35" t="str">
            <v>M3</v>
          </cell>
          <cell r="AL35">
            <v>0</v>
          </cell>
          <cell r="AM35">
            <v>0</v>
          </cell>
          <cell r="AN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>
            <v>7</v>
          </cell>
          <cell r="H36" t="str">
            <v>Ton</v>
          </cell>
          <cell r="I36">
            <v>300000000</v>
          </cell>
          <cell r="J36">
            <v>4</v>
          </cell>
          <cell r="K36">
            <v>2000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>
            <v>0.125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  <cell r="W36">
            <v>0.125</v>
          </cell>
          <cell r="X36">
            <v>18750</v>
          </cell>
          <cell r="Y36">
            <v>3571.43</v>
          </cell>
          <cell r="Z36">
            <v>2500</v>
          </cell>
          <cell r="AA36">
            <v>53883.93</v>
          </cell>
          <cell r="AB36">
            <v>106334.43</v>
          </cell>
          <cell r="AC36" t="str">
            <v xml:space="preserve"> Alat baru</v>
          </cell>
          <cell r="AE36" t="str">
            <v>29.</v>
          </cell>
          <cell r="AG36" t="str">
            <v>TRAILER 20 TON</v>
          </cell>
          <cell r="AH36" t="str">
            <v>E29</v>
          </cell>
          <cell r="AI36">
            <v>175</v>
          </cell>
          <cell r="AJ36">
            <v>10</v>
          </cell>
          <cell r="AK36" t="str">
            <v>Ton</v>
          </cell>
          <cell r="AL36">
            <v>0</v>
          </cell>
          <cell r="AM36">
            <v>0</v>
          </cell>
          <cell r="AN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 xml:space="preserve">          -</v>
          </cell>
          <cell r="H37" t="str">
            <v/>
          </cell>
          <cell r="I37">
            <v>20000000</v>
          </cell>
          <cell r="J37">
            <v>4</v>
          </cell>
          <cell r="K37">
            <v>1000</v>
          </cell>
          <cell r="L37">
            <v>20000000</v>
          </cell>
          <cell r="M37">
            <v>2000000</v>
          </cell>
          <cell r="N37">
            <v>0.38629999999999998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  <cell r="W37">
            <v>0.125</v>
          </cell>
          <cell r="X37">
            <v>2500</v>
          </cell>
          <cell r="Y37">
            <v>3571.43</v>
          </cell>
          <cell r="Z37">
            <v>2500</v>
          </cell>
          <cell r="AA37">
            <v>12446.43</v>
          </cell>
          <cell r="AB37">
            <v>19439.830000000002</v>
          </cell>
          <cell r="AC37" t="str">
            <v xml:space="preserve"> Alat baru</v>
          </cell>
          <cell r="AE37" t="str">
            <v>30.</v>
          </cell>
          <cell r="AG37" t="str">
            <v>PILE DRIVER + HAMMER</v>
          </cell>
          <cell r="AH37" t="str">
            <v>E30</v>
          </cell>
          <cell r="AI37">
            <v>25</v>
          </cell>
          <cell r="AJ37">
            <v>2.5</v>
          </cell>
          <cell r="AK37" t="str">
            <v>Ton</v>
          </cell>
          <cell r="AL37">
            <v>280000000</v>
          </cell>
          <cell r="AM37">
            <v>75673.33</v>
          </cell>
          <cell r="AN37" t="str">
            <v xml:space="preserve"> Alat baru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>
            <v>30</v>
          </cell>
          <cell r="H38" t="str">
            <v>T/Jam</v>
          </cell>
          <cell r="I38">
            <v>1400000000</v>
          </cell>
          <cell r="J38">
            <v>5</v>
          </cell>
          <cell r="K38">
            <v>2000</v>
          </cell>
          <cell r="L38">
            <v>1400000000</v>
          </cell>
          <cell r="M38">
            <v>140000000</v>
          </cell>
          <cell r="N38">
            <v>0.33439999999999998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  <cell r="W38">
            <v>0.125</v>
          </cell>
          <cell r="X38">
            <v>87500</v>
          </cell>
          <cell r="Y38">
            <v>3571.43</v>
          </cell>
          <cell r="Z38">
            <v>5000</v>
          </cell>
          <cell r="AA38">
            <v>181321.43</v>
          </cell>
          <cell r="AB38">
            <v>393393.43</v>
          </cell>
          <cell r="AC38" t="str">
            <v xml:space="preserve"> Alat baru</v>
          </cell>
          <cell r="AE38" t="str">
            <v>31.</v>
          </cell>
          <cell r="AG38" t="str">
            <v>CRANE ON TRACK 35 TON</v>
          </cell>
          <cell r="AH38" t="str">
            <v>E31</v>
          </cell>
          <cell r="AI38">
            <v>125</v>
          </cell>
          <cell r="AJ38">
            <v>35</v>
          </cell>
          <cell r="AK38" t="str">
            <v>Ton</v>
          </cell>
          <cell r="AL38">
            <v>980000000</v>
          </cell>
          <cell r="AM38">
            <v>249347.63</v>
          </cell>
          <cell r="AN38" t="str">
            <v xml:space="preserve"> Alat baru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  <cell r="I39">
            <v>10000000</v>
          </cell>
          <cell r="J39">
            <v>2</v>
          </cell>
          <cell r="K39">
            <v>2000</v>
          </cell>
          <cell r="L39">
            <v>10000000</v>
          </cell>
          <cell r="M39">
            <v>1000000</v>
          </cell>
          <cell r="N39">
            <v>0.65449999999999997</v>
          </cell>
          <cell r="O39">
            <v>2945.25</v>
          </cell>
          <cell r="P39">
            <v>10</v>
          </cell>
          <cell r="Q39">
            <v>2955.25</v>
          </cell>
          <cell r="R39">
            <v>0.125</v>
          </cell>
          <cell r="S39">
            <v>0.01</v>
          </cell>
          <cell r="T39">
            <v>2325</v>
          </cell>
          <cell r="U39">
            <v>0</v>
          </cell>
          <cell r="V39">
            <v>0</v>
          </cell>
          <cell r="W39">
            <v>0.125</v>
          </cell>
          <cell r="X39">
            <v>625</v>
          </cell>
          <cell r="Y39">
            <v>3571.43</v>
          </cell>
          <cell r="Z39">
            <v>2500</v>
          </cell>
          <cell r="AA39">
            <v>9021.43</v>
          </cell>
          <cell r="AB39">
            <v>11976.68</v>
          </cell>
          <cell r="AC39" t="str">
            <v xml:space="preserve"> Alat baru</v>
          </cell>
        </row>
        <row r="40">
          <cell r="B40" t="str">
            <v>23.</v>
          </cell>
          <cell r="C40" t="str">
            <v>Kap. Prod. / jam =</v>
          </cell>
          <cell r="D40" t="str">
            <v>WATER TANKER 3000-4500 L.</v>
          </cell>
          <cell r="E40" t="str">
            <v>E23</v>
          </cell>
          <cell r="F40">
            <v>100</v>
          </cell>
          <cell r="G40">
            <v>4000</v>
          </cell>
          <cell r="H40" t="str">
            <v>Liter</v>
          </cell>
          <cell r="I40">
            <v>175000000</v>
          </cell>
          <cell r="J40">
            <v>5</v>
          </cell>
          <cell r="K40">
            <v>2000</v>
          </cell>
          <cell r="L40">
            <v>175000000</v>
          </cell>
          <cell r="M40">
            <v>17500000</v>
          </cell>
          <cell r="N40">
            <v>0.33439999999999998</v>
          </cell>
          <cell r="O40">
            <v>26334</v>
          </cell>
          <cell r="P40">
            <v>175</v>
          </cell>
          <cell r="Q40">
            <v>26509</v>
          </cell>
          <cell r="R40">
            <v>0.125</v>
          </cell>
          <cell r="S40">
            <v>0.01</v>
          </cell>
          <cell r="T40">
            <v>38750</v>
          </cell>
          <cell r="U40">
            <v>0</v>
          </cell>
          <cell r="V40">
            <v>0</v>
          </cell>
          <cell r="W40">
            <v>0.125</v>
          </cell>
          <cell r="X40">
            <v>10937.5</v>
          </cell>
          <cell r="Y40">
            <v>3571.43</v>
          </cell>
          <cell r="Z40">
            <v>2500</v>
          </cell>
          <cell r="AA40">
            <v>55758.93</v>
          </cell>
          <cell r="AB40">
            <v>82267.929999999993</v>
          </cell>
          <cell r="AC40" t="str">
            <v xml:space="preserve"> Alat baru</v>
          </cell>
        </row>
        <row r="41">
          <cell r="B41" t="str">
            <v>24.</v>
          </cell>
          <cell r="C41" t="str">
            <v>M01 -  Pasir</v>
          </cell>
          <cell r="D41" t="str">
            <v>PEDESTRIAN ROLLER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  <cell r="I41">
            <v>75000000</v>
          </cell>
          <cell r="J41">
            <v>4</v>
          </cell>
          <cell r="K41">
            <v>2000</v>
          </cell>
          <cell r="L41">
            <v>75000000</v>
          </cell>
          <cell r="M41">
            <v>7500000</v>
          </cell>
          <cell r="N41">
            <v>0.38629999999999998</v>
          </cell>
          <cell r="O41">
            <v>13037.63</v>
          </cell>
          <cell r="P41">
            <v>75</v>
          </cell>
          <cell r="Q41">
            <v>13112.63</v>
          </cell>
          <cell r="R41">
            <v>0.125</v>
          </cell>
          <cell r="S41">
            <v>0.01</v>
          </cell>
          <cell r="T41">
            <v>4262.5</v>
          </cell>
          <cell r="U41">
            <v>0</v>
          </cell>
          <cell r="V41">
            <v>0</v>
          </cell>
          <cell r="W41">
            <v>0.125</v>
          </cell>
          <cell r="X41">
            <v>4687.5</v>
          </cell>
          <cell r="Y41">
            <v>3571.43</v>
          </cell>
          <cell r="Z41">
            <v>2500</v>
          </cell>
          <cell r="AA41">
            <v>15021.43</v>
          </cell>
          <cell r="AB41">
            <v>28134.059999999998</v>
          </cell>
          <cell r="AC41" t="str">
            <v xml:space="preserve"> Alat baru</v>
          </cell>
        </row>
        <row r="42">
          <cell r="B42" t="str">
            <v>25.</v>
          </cell>
          <cell r="C42" t="str">
            <v>Quarry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  <cell r="I42">
            <v>25000000</v>
          </cell>
          <cell r="J42">
            <v>4</v>
          </cell>
          <cell r="K42">
            <v>1000</v>
          </cell>
          <cell r="L42">
            <v>25000000</v>
          </cell>
          <cell r="M42">
            <v>2500000</v>
          </cell>
          <cell r="N42">
            <v>0.38629999999999998</v>
          </cell>
          <cell r="O42">
            <v>8691.75</v>
          </cell>
          <cell r="P42">
            <v>50</v>
          </cell>
          <cell r="Q42">
            <v>8741.75</v>
          </cell>
          <cell r="R42">
            <v>0.125</v>
          </cell>
          <cell r="S42">
            <v>0.01</v>
          </cell>
          <cell r="T42">
            <v>1937.5</v>
          </cell>
          <cell r="U42">
            <v>0</v>
          </cell>
          <cell r="V42">
            <v>0</v>
          </cell>
          <cell r="W42">
            <v>0.125</v>
          </cell>
          <cell r="X42">
            <v>3125</v>
          </cell>
          <cell r="Y42">
            <v>3571.43</v>
          </cell>
          <cell r="Z42">
            <v>2500</v>
          </cell>
          <cell r="AA42">
            <v>11133.93</v>
          </cell>
          <cell r="AB42">
            <v>19875.68</v>
          </cell>
          <cell r="AC42" t="str">
            <v xml:space="preserve"> Alat baru</v>
          </cell>
        </row>
        <row r="43">
          <cell r="B43" t="str">
            <v>26.</v>
          </cell>
          <cell r="C43" t="str">
            <v>Base Camp / Lokasi Pekerjaan</v>
          </cell>
          <cell r="D43" t="str">
            <v>JACK HAMMER</v>
          </cell>
          <cell r="E43" t="str">
            <v>E26</v>
          </cell>
          <cell r="F43">
            <v>3</v>
          </cell>
          <cell r="G43" t="str">
            <v xml:space="preserve">          -</v>
          </cell>
          <cell r="H43" t="str">
            <v/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>
            <v>8</v>
          </cell>
          <cell r="H45" t="str">
            <v>M3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</row>
        <row r="46">
          <cell r="B46" t="str">
            <v>29.</v>
          </cell>
          <cell r="C46" t="str">
            <v>Kaasitas bak</v>
          </cell>
          <cell r="D46" t="str">
            <v>TRAILER 20 TON</v>
          </cell>
          <cell r="E46" t="str">
            <v>E29</v>
          </cell>
          <cell r="F46">
            <v>175</v>
          </cell>
          <cell r="G46">
            <v>10</v>
          </cell>
          <cell r="H46" t="str">
            <v>Ton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>
            <v>2.5</v>
          </cell>
          <cell r="H47" t="str">
            <v>Ton</v>
          </cell>
          <cell r="I47">
            <v>280000000</v>
          </cell>
          <cell r="J47">
            <v>5</v>
          </cell>
          <cell r="K47">
            <v>2000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>
            <v>42414.400000000001</v>
          </cell>
          <cell r="R47">
            <v>0.125</v>
          </cell>
          <cell r="S47">
            <v>0.01</v>
          </cell>
          <cell r="T47">
            <v>9687.5</v>
          </cell>
          <cell r="U47">
            <v>0</v>
          </cell>
          <cell r="V47">
            <v>0</v>
          </cell>
          <cell r="W47">
            <v>0.125</v>
          </cell>
          <cell r="X47">
            <v>17500</v>
          </cell>
          <cell r="Y47">
            <v>3571.43</v>
          </cell>
          <cell r="Z47">
            <v>2500</v>
          </cell>
          <cell r="AA47">
            <v>33258.93</v>
          </cell>
          <cell r="AB47">
            <v>75673.33</v>
          </cell>
          <cell r="AC47" t="str">
            <v xml:space="preserve"> Alat baru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>
            <v>35</v>
          </cell>
          <cell r="H48" t="str">
            <v>Ton</v>
          </cell>
          <cell r="I48">
            <v>980000000</v>
          </cell>
          <cell r="J48">
            <v>6</v>
          </cell>
          <cell r="K48">
            <v>2000</v>
          </cell>
          <cell r="L48">
            <v>980000000</v>
          </cell>
          <cell r="M48">
            <v>98000000</v>
          </cell>
          <cell r="N48">
            <v>0.30070000000000002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0</v>
          </cell>
          <cell r="V48">
            <v>0</v>
          </cell>
          <cell r="W48">
            <v>0.125</v>
          </cell>
          <cell r="X48">
            <v>61250</v>
          </cell>
          <cell r="Y48">
            <v>3571.43</v>
          </cell>
          <cell r="Z48">
            <v>2500</v>
          </cell>
          <cell r="AA48">
            <v>115758.93</v>
          </cell>
          <cell r="AB48">
            <v>249347.63</v>
          </cell>
          <cell r="AC48" t="str">
            <v xml:space="preserve"> Alat baru</v>
          </cell>
        </row>
        <row r="49">
          <cell r="C49" t="str">
            <v>ASUMSI</v>
          </cell>
          <cell r="G49" t="str">
            <v>v2</v>
          </cell>
          <cell r="H49">
            <v>60</v>
          </cell>
          <cell r="I49" t="str">
            <v>Km/Jam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1558.6</v>
          </cell>
        </row>
        <row r="50">
          <cell r="C50" t="str">
            <v>Menggunakan alat berat</v>
          </cell>
          <cell r="E50" t="str">
            <v>=   (L  :  v1)  x  60</v>
          </cell>
          <cell r="G50" t="str">
            <v>Ts2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17144.61</v>
          </cell>
        </row>
        <row r="51">
          <cell r="C51" t="str">
            <v>Kondisi Jalan   :  sedang / baik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Jarak Quarry ke lokasi Pekerjaan</v>
          </cell>
          <cell r="D52" t="str">
            <v xml:space="preserve">KETERANGAN  : </v>
          </cell>
          <cell r="E52" t="str">
            <v>1.</v>
          </cell>
          <cell r="F52" t="str">
            <v>Tingkat Suku Bunga</v>
          </cell>
          <cell r="G52" t="str">
            <v>Km</v>
          </cell>
          <cell r="H52">
            <v>1</v>
          </cell>
          <cell r="I52" t="str">
            <v>menit</v>
          </cell>
          <cell r="K52" t="str">
            <v>=</v>
          </cell>
          <cell r="L52">
            <v>20</v>
          </cell>
          <cell r="M52" t="str">
            <v>%  per-tahun</v>
          </cell>
          <cell r="N52" t="str">
            <v>SATUAN dapat berdasarkan atas jam operasi untuk Tenaga Kerja dan Peralatan, volume dan/atau ukuran berat untuk bahan-bahan</v>
          </cell>
        </row>
        <row r="53">
          <cell r="C53" t="str">
            <v>Harga satuan pasir di Quarry</v>
          </cell>
          <cell r="E53" t="str">
            <v>2.</v>
          </cell>
          <cell r="F53" t="str">
            <v>Upah Operator / Sopir / Mekanik</v>
          </cell>
          <cell r="G53" t="str">
            <v>M3</v>
          </cell>
          <cell r="H53">
            <v>15000</v>
          </cell>
          <cell r="I53" t="str">
            <v>menit</v>
          </cell>
          <cell r="K53" t="str">
            <v>=</v>
          </cell>
          <cell r="L53">
            <v>3571.43</v>
          </cell>
          <cell r="M53" t="str">
            <v>Rupiah per-orang/jam</v>
          </cell>
          <cell r="N53" t="str">
            <v>Kuantitas satuan adalah kuantitas setiap komponen untuk menyelesaikan satu satuan pekerjaan dari nomor mata pembayaran</v>
          </cell>
        </row>
        <row r="54">
          <cell r="C54" t="str">
            <v>Harga Satuan Dasar Dump Truck</v>
          </cell>
          <cell r="E54" t="str">
            <v>3.</v>
          </cell>
          <cell r="F54" t="str">
            <v>Upah Pembantu Operator/Sopir/Mekanik</v>
          </cell>
          <cell r="G54" t="str">
            <v>Jam</v>
          </cell>
          <cell r="H54">
            <v>82267.929999999993</v>
          </cell>
          <cell r="I54" t="str">
            <v>menit</v>
          </cell>
          <cell r="K54" t="str">
            <v>=</v>
          </cell>
          <cell r="L54">
            <v>2500</v>
          </cell>
          <cell r="M54" t="str">
            <v>Rupiah per-orang/jam</v>
          </cell>
          <cell r="N54" t="str">
            <v>Biaya satuan untuk peralatan sudah termasuk bahan bakar, bahan habis dipakai dan operator.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K55" t="str">
            <v>=</v>
          </cell>
          <cell r="L55">
            <v>1825</v>
          </cell>
          <cell r="M55" t="str">
            <v>Rupiah per-liter</v>
          </cell>
          <cell r="N55" t="str">
            <v>Biaya satuan sudah termasuk pengeluaran untuk seluruh pajak yang berkaitan (tetapi tidak termasuk PPN yang dibayar dari kontrak )</v>
          </cell>
        </row>
        <row r="56"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Berlanjut ke halaman berikut</v>
          </cell>
          <cell r="K56" t="str">
            <v>=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K57" t="str">
            <v>=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 xml:space="preserve">         URAIAN ANALISA HARGA SATUAN</v>
          </cell>
          <cell r="L59" t="str">
            <v>FORMULIR STANDAR UNTUK</v>
          </cell>
        </row>
      </sheetData>
      <sheetData sheetId="8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2.1</v>
          </cell>
          <cell r="J1" t="str">
            <v xml:space="preserve">Analisa EI-21 </v>
          </cell>
          <cell r="T1" t="str">
            <v xml:space="preserve">Analisa EI-21 </v>
          </cell>
        </row>
        <row r="2">
          <cell r="A2" t="str">
            <v>JENIS PEKERJAAN</v>
          </cell>
          <cell r="D2" t="str">
            <v>:  Pek. Galian Untuk Saluran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</row>
        <row r="5">
          <cell r="B5" t="str">
            <v>U R A I A N</v>
          </cell>
          <cell r="E5" t="str">
            <v>SATUAN</v>
          </cell>
          <cell r="F5" t="str">
            <v>ALAT</v>
          </cell>
          <cell r="G5" t="str">
            <v>ALAT</v>
          </cell>
          <cell r="H5" t="str">
            <v>KET.</v>
          </cell>
          <cell r="I5" t="str">
            <v>ALAT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</row>
        <row r="6">
          <cell r="A6" t="str">
            <v>No.</v>
          </cell>
          <cell r="C6" t="str">
            <v>U R A I A N</v>
          </cell>
          <cell r="F6" t="str">
            <v>(Rp)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</row>
        <row r="7">
          <cell r="J7" t="str">
            <v>ALAT</v>
          </cell>
          <cell r="L7" t="str">
            <v>PROYEK</v>
          </cell>
          <cell r="N7" t="str">
            <v>MODAL</v>
          </cell>
          <cell r="O7" t="str">
            <v>:  Peningkatan Jalan dan Jembatan Wilayah Barat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</row>
        <row r="8">
          <cell r="C8" t="str">
            <v>M01  -  P a s i r</v>
          </cell>
          <cell r="E8" t="str">
            <v>M3</v>
          </cell>
          <cell r="F8">
            <v>15000</v>
          </cell>
          <cell r="G8">
            <v>30</v>
          </cell>
          <cell r="H8" t="str">
            <v xml:space="preserve"> Ke Lokasi Pek.</v>
          </cell>
          <cell r="L8" t="str">
            <v>No. PAKET KONTRAK</v>
          </cell>
          <cell r="O8" t="str">
            <v xml:space="preserve">: </v>
          </cell>
        </row>
        <row r="9">
          <cell r="A9" t="str">
            <v>I.</v>
          </cell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L9" t="str">
            <v>PEKERJAAN</v>
          </cell>
          <cell r="M9" t="str">
            <v>(Rp.)</v>
          </cell>
          <cell r="N9" t="str">
            <v>-</v>
          </cell>
          <cell r="O9" t="str">
            <v>:  Pembangunan Jembatan Beton Tersebar di Wilayah Barat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</row>
        <row r="10">
          <cell r="A10">
            <v>1</v>
          </cell>
          <cell r="B10" t="str">
            <v>No.</v>
          </cell>
          <cell r="C10" t="str">
            <v>Menggunakan alat berat (cara mekanik)</v>
          </cell>
          <cell r="E10" t="str">
            <v>KODE</v>
          </cell>
          <cell r="F10">
            <v>25000</v>
          </cell>
          <cell r="G10">
            <v>25</v>
          </cell>
          <cell r="H10" t="str">
            <v xml:space="preserve"> Ke Lokasi Pek.</v>
          </cell>
          <cell r="L10" t="str">
            <v>KABUPATEN</v>
          </cell>
          <cell r="O10" t="str">
            <v>:  Lampung Timur</v>
          </cell>
          <cell r="T10" t="str">
            <v>f1 x HP x</v>
          </cell>
        </row>
        <row r="11">
          <cell r="A11">
            <v>2</v>
          </cell>
          <cell r="C11" t="str">
            <v>Lokasi pekerjaan : 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:  2.1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</row>
        <row r="12">
          <cell r="A12">
            <v>3</v>
          </cell>
          <cell r="C12" t="str">
            <v>Kondisi Jalan   :  sedang / baik</v>
          </cell>
          <cell r="E12" t="str">
            <v>M3</v>
          </cell>
          <cell r="F12">
            <v>0</v>
          </cell>
          <cell r="G12">
            <v>0</v>
          </cell>
          <cell r="H12" t="str">
            <v xml:space="preserve"> Ke Base Camp.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:  Pek. Galian Untuk Saluran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:  M3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</row>
        <row r="14">
          <cell r="A14">
            <v>5</v>
          </cell>
          <cell r="C14" t="str">
            <v>Faktor pengembangan bahan</v>
          </cell>
          <cell r="E14" t="str">
            <v>M3</v>
          </cell>
          <cell r="F14">
            <v>65000</v>
          </cell>
          <cell r="G14" t="str">
            <v>Fk</v>
          </cell>
          <cell r="H14">
            <v>1.2</v>
          </cell>
          <cell r="I14" t="str">
            <v>-</v>
          </cell>
          <cell r="T14" t="str">
            <v>Harga Olie</v>
          </cell>
        </row>
        <row r="15">
          <cell r="A15">
            <v>6</v>
          </cell>
          <cell r="C15" t="str">
            <v>Faktor kembang material (Padat-Lepas)</v>
          </cell>
          <cell r="F15" t="str">
            <v>HP</v>
          </cell>
          <cell r="G15" t="str">
            <v>Cp</v>
          </cell>
          <cell r="H15">
            <v>1.6667000000000001</v>
          </cell>
          <cell r="I15" t="str">
            <v>B</v>
          </cell>
          <cell r="J15" t="str">
            <v>A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</row>
        <row r="16">
          <cell r="A16" t="str">
            <v>II.</v>
          </cell>
          <cell r="B16" t="str">
            <v>1</v>
          </cell>
          <cell r="C16" t="str">
            <v>URUTAN  KERJA</v>
          </cell>
          <cell r="E16" t="str">
            <v>2a</v>
          </cell>
          <cell r="F16" t="str">
            <v>3</v>
          </cell>
          <cell r="G16" t="str">
            <v>4</v>
          </cell>
          <cell r="H16">
            <v>7</v>
          </cell>
          <cell r="I16" t="str">
            <v>5</v>
          </cell>
          <cell r="J16" t="str">
            <v>6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PERKIRAAN</v>
          </cell>
          <cell r="R16" t="str">
            <v>HARGA</v>
          </cell>
          <cell r="S16" t="str">
            <v>JUMLAH</v>
          </cell>
          <cell r="T16" t="str">
            <v>16</v>
          </cell>
          <cell r="U16" t="str">
            <v>17</v>
          </cell>
          <cell r="V16" t="str">
            <v>18</v>
          </cell>
        </row>
        <row r="17">
          <cell r="A17">
            <v>1</v>
          </cell>
          <cell r="C17" t="str">
            <v>Penggalian dilakukan dengan menggunakan Excavator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SATUAN</v>
          </cell>
          <cell r="S17" t="str">
            <v>HARGA</v>
          </cell>
        </row>
        <row r="18">
          <cell r="A18">
            <v>2</v>
          </cell>
          <cell r="B18" t="str">
            <v>1.</v>
          </cell>
          <cell r="C18" t="str">
            <v>Selanjutnya Excavator menuangkan material hasil</v>
          </cell>
          <cell r="D18" t="str">
            <v>ASPHALT MIXING PLANT</v>
          </cell>
          <cell r="E18" t="str">
            <v>E01</v>
          </cell>
          <cell r="F18">
            <v>150</v>
          </cell>
          <cell r="G18">
            <v>30</v>
          </cell>
          <cell r="H18" t="str">
            <v>T/Jam</v>
          </cell>
          <cell r="I18">
            <v>1500000000</v>
          </cell>
          <cell r="J18">
            <v>10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 t="str">
            <v>(Rp.)</v>
          </cell>
          <cell r="S18" t="str">
            <v>(Rp.)</v>
          </cell>
          <cell r="T18">
            <v>486525</v>
          </cell>
          <cell r="U18">
            <v>0</v>
          </cell>
          <cell r="V18">
            <v>0</v>
          </cell>
        </row>
        <row r="19">
          <cell r="A19">
            <v>3</v>
          </cell>
          <cell r="B19" t="str">
            <v>2.</v>
          </cell>
          <cell r="C19" t="str">
            <v>galian kedalam Dump Truck</v>
          </cell>
          <cell r="D19" t="str">
            <v>ASPHALT FINISHER</v>
          </cell>
          <cell r="E19" t="str">
            <v>E02</v>
          </cell>
          <cell r="F19">
            <v>47</v>
          </cell>
          <cell r="G19">
            <v>6</v>
          </cell>
          <cell r="H19" t="str">
            <v>Ton</v>
          </cell>
          <cell r="I19">
            <v>750000000</v>
          </cell>
          <cell r="J19">
            <v>6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</row>
        <row r="20">
          <cell r="A20">
            <v>3</v>
          </cell>
          <cell r="B20" t="str">
            <v>3.</v>
          </cell>
          <cell r="C20" t="str">
            <v>Dump Truck membuang material hasil galian keluar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L20">
            <v>60000000</v>
          </cell>
          <cell r="M20">
            <v>6000000</v>
          </cell>
          <cell r="N20">
            <v>0.33439999999999998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</row>
        <row r="21">
          <cell r="A21">
            <v>4</v>
          </cell>
          <cell r="B21" t="str">
            <v>4.</v>
          </cell>
          <cell r="C21" t="str">
            <v>lokasi jalan sejauh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>L</v>
          </cell>
          <cell r="H21">
            <v>1</v>
          </cell>
          <cell r="I21" t="str">
            <v>Km</v>
          </cell>
          <cell r="J21">
            <v>5</v>
          </cell>
          <cell r="L21" t="str">
            <v>A.</v>
          </cell>
          <cell r="M21">
            <v>55000000</v>
          </cell>
          <cell r="N21" t="str">
            <v>TENAGA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</row>
        <row r="22">
          <cell r="A22">
            <v>4</v>
          </cell>
          <cell r="B22" t="str">
            <v>5.</v>
          </cell>
          <cell r="C22" t="str">
            <v>Sekelompok pekerja akan merapikan hasil galian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 xml:space="preserve">          -</v>
          </cell>
          <cell r="H22" t="str">
            <v/>
          </cell>
          <cell r="I22">
            <v>50000000</v>
          </cell>
          <cell r="J22">
            <v>5</v>
          </cell>
          <cell r="L22">
            <v>50000000</v>
          </cell>
          <cell r="M22">
            <v>5000000</v>
          </cell>
          <cell r="N22">
            <v>0.33439999999999998</v>
          </cell>
          <cell r="O22">
            <v>7524</v>
          </cell>
          <cell r="P22">
            <v>50</v>
          </cell>
          <cell r="Q22">
            <v>7574</v>
          </cell>
          <cell r="R22">
            <v>0.125</v>
          </cell>
          <cell r="S22">
            <v>0.01</v>
          </cell>
          <cell r="T22">
            <v>31000</v>
          </cell>
          <cell r="U22">
            <v>0</v>
          </cell>
          <cell r="V22">
            <v>0</v>
          </cell>
        </row>
        <row r="23">
          <cell r="A23">
            <v>2</v>
          </cell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L23" t="str">
            <v>1.</v>
          </cell>
          <cell r="M23">
            <v>3000000</v>
          </cell>
          <cell r="N23" t="str">
            <v>Pekerja</v>
          </cell>
          <cell r="O23" t="str">
            <v>(L01)</v>
          </cell>
          <cell r="P23" t="str">
            <v>jam</v>
          </cell>
          <cell r="Q23">
            <v>0.13919999999999999</v>
          </cell>
          <cell r="R23">
            <v>2500</v>
          </cell>
          <cell r="S23">
            <v>0.01</v>
          </cell>
          <cell r="T23">
            <v>5812.5</v>
          </cell>
          <cell r="U23">
            <v>348</v>
          </cell>
          <cell r="V23">
            <v>0</v>
          </cell>
        </row>
        <row r="24">
          <cell r="A24" t="str">
            <v>III.</v>
          </cell>
          <cell r="B24" t="str">
            <v>7.</v>
          </cell>
          <cell r="C24" t="str">
            <v>PEMAKAIAN BAHAN, ALAT DAN TENAGA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L24" t="str">
            <v>2.</v>
          </cell>
          <cell r="M24">
            <v>35000000</v>
          </cell>
          <cell r="N24" t="str">
            <v>Mandor</v>
          </cell>
          <cell r="O24" t="str">
            <v>(L03)</v>
          </cell>
          <cell r="P24" t="str">
            <v>jam</v>
          </cell>
          <cell r="Q24">
            <v>3.4799999999999998E-2</v>
          </cell>
          <cell r="R24">
            <v>3571.43</v>
          </cell>
          <cell r="S24">
            <v>0.01</v>
          </cell>
          <cell r="T24">
            <v>58125</v>
          </cell>
          <cell r="U24">
            <v>124.29</v>
          </cell>
          <cell r="V24">
            <v>0</v>
          </cell>
        </row>
        <row r="25">
          <cell r="A25">
            <v>3</v>
          </cell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</row>
        <row r="26">
          <cell r="A26" t="str">
            <v xml:space="preserve">   1.</v>
          </cell>
          <cell r="B26" t="str">
            <v>9.</v>
          </cell>
          <cell r="C26" t="str">
            <v>BAHAN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>
            <v>34083</v>
          </cell>
          <cell r="R26">
            <v>0.125</v>
          </cell>
          <cell r="S26">
            <v>0.01</v>
          </cell>
          <cell r="T26">
            <v>48437.5</v>
          </cell>
          <cell r="U26">
            <v>0</v>
          </cell>
          <cell r="V26">
            <v>0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 t="str">
            <v xml:space="preserve">JUMLAH HARGA TENAGA   </v>
          </cell>
          <cell r="S27">
            <v>0.01</v>
          </cell>
          <cell r="T27">
            <v>31000</v>
          </cell>
          <cell r="U27">
            <v>472.29</v>
          </cell>
          <cell r="V27">
            <v>0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L28">
            <v>100000000</v>
          </cell>
          <cell r="M28">
            <v>10000000</v>
          </cell>
          <cell r="N28">
            <v>0.33439999999999998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</row>
        <row r="29">
          <cell r="A29" t="str">
            <v xml:space="preserve">   2.</v>
          </cell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L29" t="str">
            <v>B.</v>
          </cell>
          <cell r="M29">
            <v>4000000</v>
          </cell>
          <cell r="N29" t="str">
            <v>BAHAN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</row>
        <row r="30">
          <cell r="A30" t="str">
            <v xml:space="preserve">   2.a.</v>
          </cell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>(E10)</v>
          </cell>
          <cell r="H30" t="str">
            <v/>
          </cell>
          <cell r="I30">
            <v>600000000</v>
          </cell>
          <cell r="J30">
            <v>5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</row>
        <row r="31">
          <cell r="B31" t="str">
            <v>14.</v>
          </cell>
          <cell r="C31" t="str">
            <v>Kapasitas Bucket</v>
          </cell>
          <cell r="D31" t="str">
            <v>TRACK LOADER 75-100 HP</v>
          </cell>
          <cell r="E31" t="str">
            <v>E14</v>
          </cell>
          <cell r="F31">
            <v>90</v>
          </cell>
          <cell r="G31" t="str">
            <v>V</v>
          </cell>
          <cell r="H31">
            <v>0.5</v>
          </cell>
          <cell r="I31" t="str">
            <v>M3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</row>
        <row r="32">
          <cell r="B32" t="str">
            <v>15.</v>
          </cell>
          <cell r="C32" t="str">
            <v>Faktor Bucket</v>
          </cell>
          <cell r="D32" t="str">
            <v>WHEEL LOADER 1.0-1.6 M3</v>
          </cell>
          <cell r="E32" t="str">
            <v>E15</v>
          </cell>
          <cell r="F32">
            <v>105</v>
          </cell>
          <cell r="G32" t="str">
            <v>Fb</v>
          </cell>
          <cell r="H32">
            <v>0.9</v>
          </cell>
          <cell r="I32" t="str">
            <v>-</v>
          </cell>
          <cell r="J32">
            <v>5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</row>
        <row r="33">
          <cell r="B33" t="str">
            <v>16.</v>
          </cell>
          <cell r="C33" t="str">
            <v>Faktor  Efisiensi alat</v>
          </cell>
          <cell r="D33" t="str">
            <v>THREE WHEEL ROLLER 6-8 T</v>
          </cell>
          <cell r="E33" t="str">
            <v>E16</v>
          </cell>
          <cell r="F33">
            <v>55</v>
          </cell>
          <cell r="G33" t="str">
            <v>Fa</v>
          </cell>
          <cell r="H33">
            <v>0.83</v>
          </cell>
          <cell r="I33" t="str">
            <v>-</v>
          </cell>
          <cell r="J33">
            <v>5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</row>
        <row r="34">
          <cell r="A34" t="str">
            <v xml:space="preserve">   2.</v>
          </cell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</row>
        <row r="35">
          <cell r="A35" t="str">
            <v xml:space="preserve">   2.a.</v>
          </cell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 t="str">
            <v>Ts1</v>
          </cell>
          <cell r="H35" t="str">
            <v>Ton</v>
          </cell>
          <cell r="I35" t="str">
            <v>menit</v>
          </cell>
          <cell r="J35">
            <v>5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>
            <v>37870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 t="str">
            <v>T1</v>
          </cell>
          <cell r="H36">
            <v>0.35</v>
          </cell>
          <cell r="I36" t="str">
            <v>menit</v>
          </cell>
          <cell r="J36">
            <v>4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 t="str">
            <v xml:space="preserve">JUMLAH HARGA BAHAN   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>T2</v>
          </cell>
          <cell r="H37">
            <v>0.3</v>
          </cell>
          <cell r="I37" t="str">
            <v>menit</v>
          </cell>
          <cell r="J37">
            <v>4</v>
          </cell>
          <cell r="L37">
            <v>20000000</v>
          </cell>
          <cell r="M37">
            <v>2000000</v>
          </cell>
          <cell r="N37">
            <v>0.38629999999999998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 t="str">
            <v>Ts1</v>
          </cell>
          <cell r="H38">
            <v>0.64999999999999991</v>
          </cell>
          <cell r="I38" t="str">
            <v>menit</v>
          </cell>
          <cell r="J38">
            <v>5</v>
          </cell>
          <cell r="L38" t="str">
            <v>C.</v>
          </cell>
          <cell r="M38">
            <v>140000000</v>
          </cell>
          <cell r="N38" t="str">
            <v>PERALATAN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 xml:space="preserve">          -</v>
          </cell>
          <cell r="H39" t="str">
            <v/>
          </cell>
          <cell r="I39">
            <v>10000000</v>
          </cell>
          <cell r="J39">
            <v>2</v>
          </cell>
          <cell r="L39">
            <v>10000000</v>
          </cell>
          <cell r="M39">
            <v>1000000</v>
          </cell>
          <cell r="N39">
            <v>0.65449999999999997</v>
          </cell>
          <cell r="O39">
            <v>2945.25</v>
          </cell>
          <cell r="P39">
            <v>10</v>
          </cell>
          <cell r="Q39">
            <v>2955.25</v>
          </cell>
          <cell r="R39">
            <v>0.125</v>
          </cell>
          <cell r="S39">
            <v>0.01</v>
          </cell>
          <cell r="T39">
            <v>2325</v>
          </cell>
          <cell r="U39">
            <v>0</v>
          </cell>
          <cell r="V39">
            <v>0</v>
          </cell>
        </row>
        <row r="40">
          <cell r="B40" t="str">
            <v>23.</v>
          </cell>
          <cell r="C40" t="str">
            <v>Kap. Prod. / jam =</v>
          </cell>
          <cell r="D40" t="str">
            <v>V  x Fb x Fa x 60</v>
          </cell>
          <cell r="E40" t="str">
            <v>E23</v>
          </cell>
          <cell r="F40">
            <v>100</v>
          </cell>
          <cell r="G40" t="str">
            <v>Q1</v>
          </cell>
          <cell r="H40">
            <v>28.730799999999999</v>
          </cell>
          <cell r="I40" t="str">
            <v>M3  / jam</v>
          </cell>
          <cell r="J40">
            <v>5</v>
          </cell>
          <cell r="L40" t="str">
            <v>1.</v>
          </cell>
          <cell r="M40">
            <v>17500000</v>
          </cell>
          <cell r="N40" t="str">
            <v>Excavator</v>
          </cell>
          <cell r="O40" t="str">
            <v>(E10)</v>
          </cell>
          <cell r="P40" t="str">
            <v>jam</v>
          </cell>
          <cell r="Q40">
            <v>3.4799999999999998E-2</v>
          </cell>
          <cell r="R40">
            <v>251051.43</v>
          </cell>
          <cell r="S40">
            <v>0.01</v>
          </cell>
          <cell r="T40">
            <v>38750</v>
          </cell>
          <cell r="U40">
            <v>8736.59</v>
          </cell>
          <cell r="V40">
            <v>0</v>
          </cell>
        </row>
        <row r="41">
          <cell r="B41" t="str">
            <v>24.</v>
          </cell>
          <cell r="C41" t="str">
            <v>- Waktu tempuh isi           =  (L : v1) x 60 menit</v>
          </cell>
          <cell r="D41" t="str">
            <v>Ts1 x Fh</v>
          </cell>
          <cell r="E41" t="str">
            <v>E24</v>
          </cell>
          <cell r="F41">
            <v>11</v>
          </cell>
          <cell r="G41">
            <v>0.98</v>
          </cell>
          <cell r="H41" t="str">
            <v>Ton</v>
          </cell>
          <cell r="I41">
            <v>75000000</v>
          </cell>
          <cell r="J41">
            <v>4</v>
          </cell>
          <cell r="L41" t="str">
            <v>2.</v>
          </cell>
          <cell r="M41">
            <v>7500000</v>
          </cell>
          <cell r="N41" t="str">
            <v>Dump Truck</v>
          </cell>
          <cell r="O41" t="str">
            <v>(E08)</v>
          </cell>
          <cell r="P41" t="str">
            <v>jam</v>
          </cell>
          <cell r="Q41">
            <v>6.8400000000000002E-2</v>
          </cell>
          <cell r="R41">
            <v>82267.929999999993</v>
          </cell>
          <cell r="S41">
            <v>0.01</v>
          </cell>
          <cell r="T41">
            <v>4262.5</v>
          </cell>
          <cell r="U41">
            <v>5627.13</v>
          </cell>
          <cell r="V41">
            <v>0</v>
          </cell>
        </row>
        <row r="42">
          <cell r="B42" t="str">
            <v>25.</v>
          </cell>
          <cell r="C42" t="str">
            <v>Koefisien Alat / M3</v>
          </cell>
          <cell r="D42" t="str">
            <v>TAMPER</v>
          </cell>
          <cell r="E42" t="str">
            <v>E25</v>
          </cell>
          <cell r="F42">
            <v>5</v>
          </cell>
          <cell r="G42">
            <v>0.17</v>
          </cell>
          <cell r="H42" t="str">
            <v>Ton</v>
          </cell>
          <cell r="I42">
            <v>25000000</v>
          </cell>
          <cell r="J42">
            <v>4</v>
          </cell>
          <cell r="L42" t="str">
            <v>3.</v>
          </cell>
          <cell r="M42">
            <v>2500000</v>
          </cell>
          <cell r="N42" t="str">
            <v>Alat Bantu</v>
          </cell>
          <cell r="O42">
            <v>8691.75</v>
          </cell>
          <cell r="P42" t="str">
            <v>Ls</v>
          </cell>
          <cell r="Q42">
            <v>1</v>
          </cell>
          <cell r="R42">
            <v>750</v>
          </cell>
          <cell r="S42">
            <v>0.01</v>
          </cell>
          <cell r="T42">
            <v>1937.5</v>
          </cell>
          <cell r="U42">
            <v>750</v>
          </cell>
          <cell r="V42">
            <v>0</v>
          </cell>
        </row>
        <row r="43">
          <cell r="B43" t="str">
            <v>26.</v>
          </cell>
          <cell r="C43" t="str">
            <v>Koefisien Alat / M3</v>
          </cell>
          <cell r="D43" t="str">
            <v xml:space="preserve"> =  1  :  Q1</v>
          </cell>
          <cell r="E43" t="str">
            <v>E26</v>
          </cell>
          <cell r="F43">
            <v>3</v>
          </cell>
          <cell r="G43" t="str">
            <v>-</v>
          </cell>
          <cell r="H43">
            <v>3.4799999999999998E-2</v>
          </cell>
          <cell r="I43" t="str">
            <v>Jam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</row>
        <row r="44">
          <cell r="A44" t="str">
            <v xml:space="preserve">   2.b.</v>
          </cell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 xml:space="preserve">          -</v>
          </cell>
          <cell r="H44" t="str">
            <v/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</row>
        <row r="45">
          <cell r="A45" t="str">
            <v xml:space="preserve">   2.b.</v>
          </cell>
          <cell r="B45" t="str">
            <v>28.</v>
          </cell>
          <cell r="C45" t="str">
            <v>DUMP TRUCK</v>
          </cell>
          <cell r="D45" t="str">
            <v>CONCRETE PUMP</v>
          </cell>
          <cell r="E45" t="str">
            <v>E28</v>
          </cell>
          <cell r="F45">
            <v>100</v>
          </cell>
          <cell r="G45" t="str">
            <v>(E08)</v>
          </cell>
          <cell r="H45" t="str">
            <v>M3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</row>
        <row r="46">
          <cell r="B46" t="str">
            <v>29.</v>
          </cell>
          <cell r="C46" t="str">
            <v>Kaasitas bak</v>
          </cell>
          <cell r="D46" t="str">
            <v>TRAILER 20 TON</v>
          </cell>
          <cell r="E46" t="str">
            <v>E29</v>
          </cell>
          <cell r="F46">
            <v>175</v>
          </cell>
          <cell r="G46" t="str">
            <v>V</v>
          </cell>
          <cell r="H46">
            <v>4</v>
          </cell>
          <cell r="I46" t="str">
            <v>M3</v>
          </cell>
          <cell r="J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</row>
        <row r="47">
          <cell r="B47" t="str">
            <v>30</v>
          </cell>
          <cell r="C47" t="str">
            <v>Faktor  efisiensi alat</v>
          </cell>
          <cell r="D47" t="str">
            <v>PILE DRIVER + HAMMER</v>
          </cell>
          <cell r="E47" t="str">
            <v>E30</v>
          </cell>
          <cell r="F47">
            <v>25</v>
          </cell>
          <cell r="G47" t="str">
            <v>Fa</v>
          </cell>
          <cell r="H47">
            <v>0.83</v>
          </cell>
          <cell r="I47" t="str">
            <v>-</v>
          </cell>
          <cell r="J47">
            <v>5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>
            <v>42414.400000000001</v>
          </cell>
          <cell r="R47" t="str">
            <v xml:space="preserve">JUMLAH HARGA PERALATAN   </v>
          </cell>
          <cell r="S47">
            <v>0.01</v>
          </cell>
          <cell r="T47">
            <v>9687.5</v>
          </cell>
          <cell r="U47">
            <v>15113.720000000001</v>
          </cell>
          <cell r="V47">
            <v>0</v>
          </cell>
        </row>
        <row r="48">
          <cell r="B48" t="str">
            <v>31.</v>
          </cell>
          <cell r="C48" t="str">
            <v>Kecepatan rata-rata bermuatan</v>
          </cell>
          <cell r="D48" t="str">
            <v>CRANE ON TRACK 35 TON</v>
          </cell>
          <cell r="E48" t="str">
            <v>E31</v>
          </cell>
          <cell r="F48">
            <v>125</v>
          </cell>
          <cell r="G48" t="str">
            <v>v1</v>
          </cell>
          <cell r="H48">
            <v>40</v>
          </cell>
          <cell r="I48" t="str">
            <v>Km/Jam</v>
          </cell>
          <cell r="J48">
            <v>6</v>
          </cell>
          <cell r="L48" t="str">
            <v>D.</v>
          </cell>
          <cell r="M48">
            <v>98000000</v>
          </cell>
          <cell r="N48" t="str">
            <v>JUMLAH HARGA TENAGA, BAHAN DAN PERALATAN  ( A + B + C )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15586.010000000002</v>
          </cell>
          <cell r="V48">
            <v>0</v>
          </cell>
        </row>
        <row r="49">
          <cell r="C49" t="str">
            <v>Kecepatan rata-rata kosong</v>
          </cell>
          <cell r="G49" t="str">
            <v>v2</v>
          </cell>
          <cell r="H49">
            <v>60</v>
          </cell>
          <cell r="I49" t="str">
            <v>Km/Jam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1558.6</v>
          </cell>
        </row>
        <row r="50">
          <cell r="C50" t="str">
            <v>Waktu  siklus  :</v>
          </cell>
          <cell r="E50" t="str">
            <v>=   (L  :  v1)  x  60</v>
          </cell>
          <cell r="G50" t="str">
            <v>Ts2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17144.61</v>
          </cell>
        </row>
        <row r="51">
          <cell r="C51" t="str">
            <v>- Waktu tempuh isi</v>
          </cell>
          <cell r="E51" t="str">
            <v>=   (L  :  v1)  x  60</v>
          </cell>
          <cell r="G51" t="str">
            <v>T1</v>
          </cell>
          <cell r="H51">
            <v>1.5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- Waktu tempuh kosong</v>
          </cell>
          <cell r="D52" t="str">
            <v xml:space="preserve">KETERANGAN  : </v>
          </cell>
          <cell r="E52" t="str">
            <v>=   (L  :  v2)  x  60</v>
          </cell>
          <cell r="F52" t="str">
            <v>Tingkat Suku Bunga</v>
          </cell>
          <cell r="G52" t="str">
            <v>T2</v>
          </cell>
          <cell r="H52">
            <v>1</v>
          </cell>
          <cell r="I52" t="str">
            <v>menit</v>
          </cell>
          <cell r="L52" t="str">
            <v>Note: 1</v>
          </cell>
          <cell r="M52" t="str">
            <v>%  per-tahun</v>
          </cell>
          <cell r="N52" t="str">
            <v>SATUAN dapat berdasarkan atas jam operasi untuk Tenaga Kerja dan Peralatan, volume dan/atau ukuran berat untuk bahan-bahan</v>
          </cell>
        </row>
        <row r="53">
          <cell r="C53" t="str">
            <v>- Muat</v>
          </cell>
          <cell r="E53" t="str">
            <v>=   (V  :  Q1) x 60</v>
          </cell>
          <cell r="F53" t="str">
            <v>Upah Operator / Sopir / Mekanik</v>
          </cell>
          <cell r="G53" t="str">
            <v>T3</v>
          </cell>
          <cell r="H53">
            <v>8.3534000000000006</v>
          </cell>
          <cell r="I53" t="str">
            <v>menit</v>
          </cell>
          <cell r="L53">
            <v>2</v>
          </cell>
          <cell r="M53" t="str">
            <v>Rupiah per-orang/jam</v>
          </cell>
          <cell r="N53" t="str">
            <v>Kuantitas satuan adalah kuantitas setiap komponen untuk menyelesaikan satu satuan pekerjaan dari nomor mata pembayaran</v>
          </cell>
        </row>
        <row r="54">
          <cell r="C54" t="str">
            <v>- Lain-lain</v>
          </cell>
          <cell r="E54" t="str">
            <v>3.</v>
          </cell>
          <cell r="F54" t="str">
            <v>Upah Pembantu Operator/Sopir/Mekanik</v>
          </cell>
          <cell r="G54" t="str">
            <v>T4</v>
          </cell>
          <cell r="H54">
            <v>0.5</v>
          </cell>
          <cell r="I54" t="str">
            <v>menit</v>
          </cell>
          <cell r="L54">
            <v>3</v>
          </cell>
          <cell r="M54" t="str">
            <v>Rupiah per-orang/jam</v>
          </cell>
          <cell r="N54" t="str">
            <v>Biaya satuan untuk peralatan sudah termasuk bahan bakar, bahan habis dipakai dan operator.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L55">
            <v>4</v>
          </cell>
          <cell r="M55" t="str">
            <v>Rupiah per-liter</v>
          </cell>
          <cell r="N55" t="str">
            <v>Biaya satuan sudah termasuk pengeluaran untuk seluruh pajak yang berkaitan (tetapi tidak termasuk PPN yang dibayar dari kontrak )</v>
          </cell>
        </row>
        <row r="56">
          <cell r="A56" t="str">
            <v>ITEM PEMBAYARAN NO.</v>
          </cell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Berlanjut ke halaman berikut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A57" t="str">
            <v>ITEM PEMBAYARAN NO.</v>
          </cell>
          <cell r="C57" t="str">
            <v>URUTAN KERJA</v>
          </cell>
          <cell r="D57" t="str">
            <v>:  2.1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A58" t="str">
            <v>JENIS PEKERJAAN</v>
          </cell>
          <cell r="D58" t="str">
            <v>:  Pek. Galian Untuk Saluran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A59" t="str">
            <v>SATUAN PEMBAYARAN</v>
          </cell>
          <cell r="C59" t="str">
            <v>Excavator sekaligus memuat pasir hasil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 xml:space="preserve">         URAIAN ANALISA HARGA SATUAN</v>
          </cell>
          <cell r="L59" t="str">
            <v>FORMULIR STANDAR UNTUK</v>
          </cell>
        </row>
        <row r="60">
          <cell r="J60" t="str">
            <v>Lanjutan</v>
          </cell>
          <cell r="L60" t="str">
            <v>PEREKAMAN ANALISA MASING-MASING HARGA SATUAN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  <cell r="L61" t="str">
            <v>PROYEK</v>
          </cell>
          <cell r="O61" t="str">
            <v>:  Peningkatan Jalan dan Jembatan Wilayah Barat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L62" t="str">
            <v>No. PAKET KONTRAK</v>
          </cell>
          <cell r="O62" t="str">
            <v xml:space="preserve">: </v>
          </cell>
        </row>
        <row r="63">
          <cell r="L63" t="str">
            <v>PROYEK</v>
          </cell>
          <cell r="O63" t="str">
            <v>:  Peningkatan Jalan dan Jembatan Wilayah Barat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  <cell r="L64" t="str">
            <v>No. PAKET KONTRAK</v>
          </cell>
          <cell r="O64" t="str">
            <v xml:space="preserve">: </v>
          </cell>
        </row>
        <row r="65">
          <cell r="C65" t="str">
            <v>Kapasitas Produksi / Jam   =</v>
          </cell>
          <cell r="D65" t="str">
            <v>V x Fa x 60</v>
          </cell>
          <cell r="E65" t="str">
            <v>V x Fa x 60</v>
          </cell>
          <cell r="G65" t="str">
            <v>Q2</v>
          </cell>
          <cell r="H65">
            <v>14.6212</v>
          </cell>
          <cell r="I65" t="str">
            <v xml:space="preserve">M3 / Jam </v>
          </cell>
          <cell r="L65" t="str">
            <v>NAMA PAKET</v>
          </cell>
          <cell r="O65" t="str">
            <v>:  Pembangunan Jembatan Beton Tersebar di Wilayah Barat</v>
          </cell>
        </row>
        <row r="66">
          <cell r="D66" t="str">
            <v>Fk x Ts2</v>
          </cell>
          <cell r="E66" t="str">
            <v xml:space="preserve">    Fk x Ts2</v>
          </cell>
          <cell r="L66" t="str">
            <v>PROP / KAB / KODYA</v>
          </cell>
          <cell r="O66" t="str">
            <v>:  Lampung Timur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L67" t="str">
            <v>ITEM PEMBAYARAN NO.</v>
          </cell>
          <cell r="O67" t="str">
            <v>:  2.2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Pasangan Batu Dengan Mortar</v>
          </cell>
        </row>
        <row r="69">
          <cell r="C69" t="str">
            <v>Koefisien Alat / M3</v>
          </cell>
          <cell r="D69" t="str">
            <v xml:space="preserve"> =  1  :  Q2</v>
          </cell>
          <cell r="G69" t="str">
            <v>-</v>
          </cell>
          <cell r="H69">
            <v>6.8400000000000002E-2</v>
          </cell>
          <cell r="I69" t="str">
            <v>Jam</v>
          </cell>
          <cell r="L69" t="str">
            <v>SATUAN PEMBAYARAN</v>
          </cell>
          <cell r="O69" t="str">
            <v>:  M3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  <cell r="Q70" t="str">
            <v>PERKIRAAN</v>
          </cell>
          <cell r="R70" t="str">
            <v>HARGA SATUAN</v>
          </cell>
          <cell r="S70" t="str">
            <v>JUMLAH HARGA</v>
          </cell>
        </row>
        <row r="71">
          <cell r="A71" t="str">
            <v>2.c.</v>
          </cell>
          <cell r="C71" t="str">
            <v>ALAT  BANTU</v>
          </cell>
          <cell r="G71" t="str">
            <v>v</v>
          </cell>
          <cell r="H71">
            <v>2</v>
          </cell>
          <cell r="I71" t="str">
            <v>KM/jam</v>
          </cell>
          <cell r="L71" t="str">
            <v>NO.</v>
          </cell>
          <cell r="N71" t="str">
            <v>KOMPONEN</v>
          </cell>
          <cell r="P71" t="str">
            <v>SATUAN</v>
          </cell>
          <cell r="Q71" t="str">
            <v>KUANTITAS</v>
          </cell>
          <cell r="R71" t="str">
            <v>(Rp.)</v>
          </cell>
          <cell r="S71" t="str">
            <v>(Rp.)</v>
          </cell>
        </row>
        <row r="72">
          <cell r="A72" t="str">
            <v>2.d.</v>
          </cell>
          <cell r="C72" t="str">
            <v>ALAT  BANTU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C73" t="str">
            <v>Diperlukan alat-alat bantu kecil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  <cell r="L73" t="str">
            <v>NO.</v>
          </cell>
          <cell r="N73" t="str">
            <v>KOMPONEN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C74" t="str">
            <v>- Sekop</v>
          </cell>
          <cell r="G74" t="str">
            <v>Fa</v>
          </cell>
          <cell r="H74">
            <v>0.83</v>
          </cell>
          <cell r="I74" t="str">
            <v>-</v>
          </cell>
          <cell r="L74" t="str">
            <v>A.</v>
          </cell>
          <cell r="N74" t="str">
            <v>TENAGA</v>
          </cell>
          <cell r="R74" t="str">
            <v>(Rp.)</v>
          </cell>
          <cell r="S74" t="str">
            <v>(Rp.)</v>
          </cell>
        </row>
        <row r="75">
          <cell r="C75" t="str">
            <v>- Keranjang + Sapu</v>
          </cell>
        </row>
        <row r="76">
          <cell r="A76" t="str">
            <v xml:space="preserve">   3.</v>
          </cell>
          <cell r="C76" t="str">
            <v>TENAGA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  <cell r="L76" t="str">
            <v>1.</v>
          </cell>
          <cell r="N76" t="str">
            <v>Pekerja</v>
          </cell>
          <cell r="O76" t="str">
            <v>(L01)</v>
          </cell>
          <cell r="P76" t="str">
            <v>Jam</v>
          </cell>
          <cell r="Q76">
            <v>9.4500000000000001E-2</v>
          </cell>
          <cell r="R76">
            <v>2500</v>
          </cell>
          <cell r="U76">
            <v>236.25</v>
          </cell>
        </row>
        <row r="77">
          <cell r="A77" t="str">
            <v xml:space="preserve">   3.</v>
          </cell>
          <cell r="C77" t="str">
            <v>TENAGA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  <cell r="L77" t="str">
            <v>A.</v>
          </cell>
          <cell r="N77" t="str">
            <v>TENAGA</v>
          </cell>
          <cell r="O77" t="str">
            <v>(L03)</v>
          </cell>
          <cell r="P77" t="str">
            <v>Jam</v>
          </cell>
          <cell r="Q77">
            <v>4.7199999999999999E-2</v>
          </cell>
          <cell r="R77">
            <v>3571.43</v>
          </cell>
          <cell r="U77">
            <v>168.57</v>
          </cell>
        </row>
        <row r="78">
          <cell r="C78" t="str">
            <v>Produksi menentukan : EXCAVATOR</v>
          </cell>
          <cell r="D78" t="str">
            <v xml:space="preserve"> =  1  :  Q2</v>
          </cell>
          <cell r="G78" t="str">
            <v>Q1</v>
          </cell>
          <cell r="H78">
            <v>28.730799999999999</v>
          </cell>
          <cell r="I78" t="str">
            <v>M3/Jam</v>
          </cell>
        </row>
        <row r="79">
          <cell r="C79" t="str">
            <v>Produksi Galian / hari  =  Tk x Q1</v>
          </cell>
          <cell r="G79" t="str">
            <v>Qt</v>
          </cell>
          <cell r="H79">
            <v>201.1156</v>
          </cell>
          <cell r="I79" t="str">
            <v>M3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17.5</v>
          </cell>
          <cell r="R79">
            <v>2500</v>
          </cell>
          <cell r="U79">
            <v>43750</v>
          </cell>
        </row>
        <row r="80">
          <cell r="A80" t="str">
            <v xml:space="preserve">   2.c.</v>
          </cell>
          <cell r="C80" t="str">
            <v>Kebutuhan tenaga :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  <cell r="L80" t="str">
            <v>2.</v>
          </cell>
          <cell r="N80" t="str">
            <v>Tukang</v>
          </cell>
          <cell r="O80" t="str">
            <v>(L02)</v>
          </cell>
          <cell r="P80" t="str">
            <v>jam</v>
          </cell>
          <cell r="Q80">
            <v>3.5</v>
          </cell>
          <cell r="R80">
            <v>3214.29</v>
          </cell>
          <cell r="U80">
            <v>11250.02</v>
          </cell>
        </row>
        <row r="81">
          <cell r="C81" t="str">
            <v>Diperlukan   :</v>
          </cell>
          <cell r="D81" t="str">
            <v>- Pekerja</v>
          </cell>
          <cell r="G81" t="str">
            <v>P</v>
          </cell>
          <cell r="H81">
            <v>4</v>
          </cell>
          <cell r="I81" t="str">
            <v>orang</v>
          </cell>
          <cell r="L81" t="str">
            <v>3.</v>
          </cell>
          <cell r="N81" t="str">
            <v>Mandor</v>
          </cell>
          <cell r="O81" t="str">
            <v>(L03)</v>
          </cell>
          <cell r="P81" t="str">
            <v>jam</v>
          </cell>
          <cell r="Q81">
            <v>1.75</v>
          </cell>
          <cell r="R81">
            <v>3571.43</v>
          </cell>
          <cell r="U81">
            <v>6250</v>
          </cell>
        </row>
        <row r="82">
          <cell r="C82" t="str">
            <v>- Kereta dorong</v>
          </cell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  <cell r="L82" t="str">
            <v>B.</v>
          </cell>
          <cell r="N82" t="str">
            <v>BAHAN</v>
          </cell>
        </row>
        <row r="83">
          <cell r="C83" t="str">
            <v>Koefisien tenaga / M3   :</v>
          </cell>
          <cell r="D83" t="str">
            <v>=  3  buah.</v>
          </cell>
          <cell r="Q83" t="str">
            <v xml:space="preserve">JUMLAH HARGA TENAGA   </v>
          </cell>
          <cell r="U83">
            <v>61250.020000000004</v>
          </cell>
        </row>
        <row r="84">
          <cell r="C84" t="str">
            <v>Koefisien tenaga / M3   :</v>
          </cell>
          <cell r="D84" t="str">
            <v>- Pekerja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  <cell r="L84" t="str">
            <v>1.</v>
          </cell>
        </row>
        <row r="85">
          <cell r="D85" t="str">
            <v>- Pekerja</v>
          </cell>
          <cell r="E85" t="str">
            <v>= (Tk x P) : Qt</v>
          </cell>
          <cell r="G85" t="str">
            <v>(L01)</v>
          </cell>
          <cell r="H85">
            <v>0.13919999999999999</v>
          </cell>
          <cell r="I85" t="str">
            <v>Jam</v>
          </cell>
          <cell r="L85" t="str">
            <v>B.</v>
          </cell>
          <cell r="N85" t="str">
            <v>BAHAN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HARGA DASAR SATUAN UPAH, BAHAN DAN ALAT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Batu</v>
          </cell>
          <cell r="O87" t="str">
            <v>(M06)</v>
          </cell>
          <cell r="P87" t="str">
            <v>M3</v>
          </cell>
          <cell r="Q87">
            <v>1.08</v>
          </cell>
          <cell r="R87">
            <v>54300</v>
          </cell>
          <cell r="U87">
            <v>58644</v>
          </cell>
        </row>
        <row r="88">
          <cell r="A88" t="str">
            <v>4.</v>
          </cell>
          <cell r="C88" t="str">
            <v>HARGA DASAR SATUAN UPAH, BAHAN DAN ALAT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Semen (PC)</v>
          </cell>
          <cell r="O88" t="str">
            <v>(M12)</v>
          </cell>
          <cell r="P88" t="str">
            <v>Kg</v>
          </cell>
          <cell r="Q88">
            <v>201.6</v>
          </cell>
          <cell r="R88">
            <v>600</v>
          </cell>
          <cell r="U88">
            <v>120960</v>
          </cell>
        </row>
        <row r="89">
          <cell r="C89" t="str">
            <v>Lihat lampiran.</v>
          </cell>
          <cell r="L89" t="str">
            <v>3.</v>
          </cell>
          <cell r="N89" t="str">
            <v>Pasir</v>
          </cell>
          <cell r="O89" t="str">
            <v>(M01)</v>
          </cell>
          <cell r="P89" t="str">
            <v>M3</v>
          </cell>
          <cell r="Q89">
            <v>0.45269999999999999</v>
          </cell>
          <cell r="R89">
            <v>48500</v>
          </cell>
          <cell r="U89">
            <v>21955.95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  <cell r="Q90" t="str">
            <v xml:space="preserve">JUMLAH HARGA BAHAN   </v>
          </cell>
          <cell r="U90">
            <v>0</v>
          </cell>
        </row>
        <row r="91">
          <cell r="A91" t="str">
            <v>5.</v>
          </cell>
          <cell r="C91" t="str">
            <v>ANALISA HARGA SATUAN PEKERJAAN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Lihat perhitungan dalam FORMULIR STANDAR UNTUK</v>
          </cell>
          <cell r="L92" t="str">
            <v>C.</v>
          </cell>
          <cell r="N92" t="str">
            <v>PERALATAN</v>
          </cell>
        </row>
        <row r="93">
          <cell r="C93" t="str">
            <v>PEREKEMAN ANALISA MASING-MASING HARGA</v>
          </cell>
          <cell r="L93" t="str">
            <v>1.</v>
          </cell>
          <cell r="N93" t="str">
            <v>Excavator</v>
          </cell>
          <cell r="O93" t="str">
            <v>(E10)</v>
          </cell>
          <cell r="P93" t="str">
            <v>Jam</v>
          </cell>
          <cell r="Q93">
            <v>4.7199999999999999E-2</v>
          </cell>
          <cell r="R93">
            <v>251051.43</v>
          </cell>
          <cell r="U93">
            <v>11849.63</v>
          </cell>
        </row>
        <row r="94">
          <cell r="C94" t="str">
            <v>SATUAN.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L94" t="str">
            <v>2.</v>
          </cell>
          <cell r="N94" t="str">
            <v>Bulldozer</v>
          </cell>
          <cell r="O94" t="str">
            <v>(E04)</v>
          </cell>
          <cell r="P94" t="str">
            <v>Jam</v>
          </cell>
          <cell r="Q94" t="str">
            <v xml:space="preserve">JUMLAH HARGA BAHAN   </v>
          </cell>
          <cell r="R94">
            <v>178010.43</v>
          </cell>
          <cell r="U94">
            <v>201559.95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Alat  bantu</v>
          </cell>
          <cell r="P95" t="str">
            <v>Ls</v>
          </cell>
          <cell r="Q95">
            <v>1</v>
          </cell>
          <cell r="R95">
            <v>750</v>
          </cell>
          <cell r="U95">
            <v>750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  <cell r="L96" t="str">
            <v>C.</v>
          </cell>
          <cell r="N96" t="str">
            <v>PERALATAN</v>
          </cell>
        </row>
        <row r="97">
          <cell r="A97" t="str">
            <v>4.</v>
          </cell>
          <cell r="C97" t="str">
            <v xml:space="preserve">Rp.  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  <cell r="L98" t="str">
            <v>1.</v>
          </cell>
          <cell r="N98" t="str">
            <v>Alat Bantu</v>
          </cell>
          <cell r="P98" t="str">
            <v>Ls</v>
          </cell>
          <cell r="Q98">
            <v>1</v>
          </cell>
          <cell r="R98">
            <v>2500</v>
          </cell>
          <cell r="U98">
            <v>2500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Q101" t="str">
            <v xml:space="preserve">JUMLAH HARGA PERALATAN   </v>
          </cell>
          <cell r="U101">
            <v>15714.81</v>
          </cell>
        </row>
        <row r="102">
          <cell r="C102" t="str">
            <v>PEREKAMAN ANALISA MASING-MASING HARGA</v>
          </cell>
          <cell r="L102" t="str">
            <v>D.</v>
          </cell>
          <cell r="N102" t="str">
            <v>JUMLAH HARGA TENAGA, BAHAN DAN PERALATAN  ( A + B + C )</v>
          </cell>
          <cell r="U102">
            <v>16119.63</v>
          </cell>
        </row>
        <row r="103">
          <cell r="C103" t="str">
            <v>SATUAN.</v>
          </cell>
          <cell r="L103" t="str">
            <v>E.</v>
          </cell>
          <cell r="N103" t="str">
            <v>OVERHEAD &amp; PROFIT</v>
          </cell>
          <cell r="P103">
            <v>10</v>
          </cell>
          <cell r="Q103" t="str">
            <v>%  x  D</v>
          </cell>
          <cell r="U103">
            <v>1611.96</v>
          </cell>
        </row>
        <row r="104">
          <cell r="C104" t="str">
            <v>Didapat Harga Satuan Pekerjaan :</v>
          </cell>
          <cell r="L104" t="str">
            <v>F.</v>
          </cell>
          <cell r="N104" t="str">
            <v>HARGA SATUAN PEKERJAAN  ( D + E )</v>
          </cell>
          <cell r="Q104" t="str">
            <v xml:space="preserve">JUMLAH HARGA PERALATAN   </v>
          </cell>
          <cell r="U104">
            <v>2500</v>
          </cell>
        </row>
        <row r="105">
          <cell r="L105" t="str">
            <v>D.</v>
          </cell>
          <cell r="N105" t="str">
            <v>JUMLAH HARGA TENAGA, BAHAN DAN PERALATAN  ( A + B + C )</v>
          </cell>
          <cell r="U105">
            <v>265309.97000000003</v>
          </cell>
        </row>
        <row r="106">
          <cell r="L106" t="str">
            <v>E.</v>
          </cell>
          <cell r="N106" t="str">
            <v>OVERHEAD &amp; PROFIT</v>
          </cell>
          <cell r="P106">
            <v>10</v>
          </cell>
          <cell r="Q106" t="str">
            <v>%  x  D</v>
          </cell>
          <cell r="U106">
            <v>26531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 t="str">
            <v>F.</v>
          </cell>
          <cell r="N107" t="str">
            <v>HARGA SATUAN PEKERJAAN  ( D + E )</v>
          </cell>
          <cell r="U107">
            <v>291840.97000000003</v>
          </cell>
        </row>
        <row r="108">
          <cell r="L108">
            <v>4</v>
          </cell>
          <cell r="N108" t="str">
            <v>Biaya satuan sudah termasuk pengeluaran untuk seluruh pajak yang berkaitan (tetapi tidak termasuk PPN yang dibayar dari kontrak )</v>
          </cell>
        </row>
        <row r="109">
          <cell r="L109" t="str">
            <v>Note: 1</v>
          </cell>
          <cell r="N109" t="str">
            <v>SATUAN dapat berdasarkan atas jam operasi untuk Tenaga Kerja dan Peralatan, volume dan/atau ukuran berat untuk bahan-bahan</v>
          </cell>
        </row>
        <row r="110">
          <cell r="L110">
            <v>2</v>
          </cell>
          <cell r="N110" t="str">
            <v>Kuantitas satuan adalah kuantitas setiap komponen untuk menyelesaikan satu satuan pekerjaan dari nomor mata pembayaran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3</v>
          </cell>
          <cell r="N111" t="str">
            <v>Biaya satuan untuk peralatan sudah termasuk bahan bakar, bahan habis dipakai dan operator.</v>
          </cell>
          <cell r="T111" t="str">
            <v>Analisa EI-315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4</v>
          </cell>
          <cell r="N112" t="str">
            <v>Biaya satuan sudah termasuk pengeluaran untuk seluruh pajak yang berkaitan (tetapi tidak termasuk PPN yang dibayar dari kontrak )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 t="str">
            <v>FORMULIR STANDAR UNTUK</v>
          </cell>
          <cell r="N113" t="str">
            <v>dan biaya-biaya lainnya.</v>
          </cell>
        </row>
        <row r="115">
          <cell r="A115" t="str">
            <v>ITEM PEMBAYARAN NO.</v>
          </cell>
          <cell r="D115" t="str">
            <v>:  2.2</v>
          </cell>
          <cell r="J115" t="str">
            <v xml:space="preserve">Analisa LI-22 </v>
          </cell>
        </row>
        <row r="116">
          <cell r="A116" t="str">
            <v>JENIS PEKERJAAN</v>
          </cell>
          <cell r="C116" t="str">
            <v>U R A I A N</v>
          </cell>
          <cell r="D116" t="str">
            <v>:  Pasangan Batu Dengan Mortar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KETERANGAN</v>
          </cell>
        </row>
        <row r="117">
          <cell r="A117" t="str">
            <v>SATUAN PEMBAYARAN</v>
          </cell>
          <cell r="D117" t="str">
            <v>:  M3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 t="str">
            <v>No.</v>
          </cell>
          <cell r="C120" t="str">
            <v>U R A I A N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>
            <v>2</v>
          </cell>
          <cell r="C121" t="str">
            <v>Lokasi pekerjaan : sekitar jembatan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 t="str">
            <v>I.</v>
          </cell>
          <cell r="C123" t="str">
            <v>ASUMSI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>
            <v>1</v>
          </cell>
          <cell r="C124" t="str">
            <v>Menggunakan buruh (cara manual)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2</v>
          </cell>
          <cell r="C125" t="str">
            <v>Lokasi pekerjaan :  Sekitar Jembatan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>
            <v>4</v>
          </cell>
          <cell r="C127" t="str">
            <v>Jarak rata-rata Base camp ke lokasi pekerjaan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5</v>
          </cell>
          <cell r="C128" t="str">
            <v>Jam kerja efektif per-hari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6</v>
          </cell>
          <cell r="C129" t="str">
            <v>Perbandingan Pasir &amp; Semen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A130">
            <v>3</v>
          </cell>
          <cell r="C130" t="str">
            <v>Bulldozer mengangkut/mengusur hasil galian ke tempat</v>
          </cell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Perbandingan Batu &amp; Mortar  :</v>
          </cell>
          <cell r="G131" t="str">
            <v>L</v>
          </cell>
          <cell r="H131">
            <v>7.4999999999999997E-2</v>
          </cell>
          <cell r="I131" t="str">
            <v>Km</v>
          </cell>
        </row>
        <row r="132">
          <cell r="A132">
            <v>8</v>
          </cell>
          <cell r="C132" t="str">
            <v>- Batu</v>
          </cell>
          <cell r="D132" t="str">
            <v>- Pasir urug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A133" t="str">
            <v>III.</v>
          </cell>
          <cell r="C133" t="str">
            <v>- Mortar (campuran semen &amp; pasir)</v>
          </cell>
          <cell r="D133" t="str">
            <v>- Batu pecah 10/15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 xml:space="preserve">   1.</v>
          </cell>
          <cell r="C135" t="str">
            <v>- Pasangan Batu Dengan Mortar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>- Batu</v>
          </cell>
          <cell r="E136" t="str">
            <v>= Uk x 1M3</v>
          </cell>
          <cell r="G136" t="str">
            <v>D2</v>
          </cell>
          <cell r="H136">
            <v>1.6</v>
          </cell>
          <cell r="I136" t="str">
            <v>ton/M3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 t="str">
            <v xml:space="preserve">   2.</v>
          </cell>
          <cell r="C138" t="str">
            <v>- Pasir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- Semen Portland</v>
          </cell>
          <cell r="G139" t="str">
            <v>D5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Faktor kehilangan bahan   :</v>
          </cell>
          <cell r="E140" t="str">
            <v>- Batu</v>
          </cell>
          <cell r="G140" t="str">
            <v>Fh1</v>
          </cell>
          <cell r="H140">
            <v>1.2</v>
          </cell>
          <cell r="I140" t="str">
            <v>-</v>
          </cell>
        </row>
        <row r="141">
          <cell r="C141" t="str">
            <v>Faktor Bucket</v>
          </cell>
          <cell r="E141" t="str">
            <v>- Pasir / Semen</v>
          </cell>
          <cell r="G141" t="str">
            <v>Fh2</v>
          </cell>
          <cell r="H141">
            <v>1.05</v>
          </cell>
          <cell r="I141" t="str">
            <v>-</v>
          </cell>
        </row>
        <row r="142">
          <cell r="A142" t="str">
            <v>II.</v>
          </cell>
          <cell r="C142" t="str">
            <v>URUTAN KERJA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1</v>
          </cell>
          <cell r="C143" t="str">
            <v>Semen, pasir dan air dicampur dan diaduk menjadi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mortar dengan menggunakan alat bantu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>
            <v>2</v>
          </cell>
          <cell r="C145" t="str">
            <v>Batu dibersihkan dan dibasahi seluruh permukaannya -</v>
          </cell>
        </row>
        <row r="146">
          <cell r="C146" t="str">
            <v>sebelum dipasang.</v>
          </cell>
          <cell r="D146" t="str">
            <v>=  Ak x 1 M3 x Fk</v>
          </cell>
          <cell r="G146" t="str">
            <v>Te1</v>
          </cell>
          <cell r="H146">
            <v>0.3</v>
          </cell>
          <cell r="I146" t="str">
            <v>menit</v>
          </cell>
        </row>
        <row r="147">
          <cell r="A147">
            <v>3</v>
          </cell>
          <cell r="C147" t="str">
            <v>Penyelesaian dan perapihan setelah pemasangan</v>
          </cell>
          <cell r="D147" t="str">
            <v>=  Ah x 1 M3 x Fk</v>
          </cell>
          <cell r="G147" t="str">
            <v>Te2</v>
          </cell>
          <cell r="H147">
            <v>0.3</v>
          </cell>
          <cell r="I147" t="str">
            <v>menit</v>
          </cell>
        </row>
        <row r="148">
          <cell r="A148" t="str">
            <v>III.</v>
          </cell>
          <cell r="C148" t="str">
            <v>PEMAKAIAN BAHAN, ALAT DAN TENAGA</v>
          </cell>
          <cell r="D148" t="str">
            <v>=  St x 1 M3 x Fk</v>
          </cell>
          <cell r="G148" t="str">
            <v>Te</v>
          </cell>
          <cell r="H148">
            <v>0.6</v>
          </cell>
          <cell r="I148" t="str">
            <v>menit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1.</v>
          </cell>
          <cell r="C150" t="str">
            <v>BAHAN</v>
          </cell>
          <cell r="D150" t="str">
            <v>V  x Fb x Fa x Fd x Bim x 60</v>
          </cell>
          <cell r="G150" t="str">
            <v>Q1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Batu     -----&gt;</v>
          </cell>
          <cell r="D151" t="str">
            <v>{(Bt x D1 x 1 M3) : D2} x Fh1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C153" t="str">
            <v>Koefisien Alat / M3</v>
          </cell>
          <cell r="D153" t="str">
            <v>x {D5 x (1000)}</v>
          </cell>
          <cell r="G153" t="str">
            <v>(M12)</v>
          </cell>
          <cell r="H153">
            <v>201.6</v>
          </cell>
          <cell r="I153" t="str">
            <v>Kg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5">
          <cell r="A155" t="str">
            <v>2.b.</v>
          </cell>
          <cell r="C155" t="str">
            <v>BULLDOZER</v>
          </cell>
          <cell r="G155" t="str">
            <v>(E04)</v>
          </cell>
        </row>
        <row r="156">
          <cell r="A156" t="str">
            <v>2.</v>
          </cell>
          <cell r="C156" t="str">
            <v>ALAT</v>
          </cell>
          <cell r="G156" t="str">
            <v>Fb</v>
          </cell>
          <cell r="H156">
            <v>0.9</v>
          </cell>
          <cell r="I156" t="str">
            <v>-</v>
          </cell>
        </row>
        <row r="157">
          <cell r="A157" t="str">
            <v>2.a.</v>
          </cell>
          <cell r="C157" t="str">
            <v>ALAT BANTU</v>
          </cell>
          <cell r="G157" t="str">
            <v>Fa</v>
          </cell>
          <cell r="H157">
            <v>0.83</v>
          </cell>
          <cell r="I157" t="str">
            <v>-</v>
          </cell>
        </row>
        <row r="158">
          <cell r="C158" t="str">
            <v>Diperlukan  :</v>
          </cell>
          <cell r="G158" t="str">
            <v>F</v>
          </cell>
          <cell r="H158">
            <v>3</v>
          </cell>
          <cell r="I158" t="str">
            <v>Km/Jam</v>
          </cell>
        </row>
        <row r="159">
          <cell r="C159" t="str">
            <v>- Sekop</v>
          </cell>
          <cell r="D159" t="str">
            <v>=  2  buah</v>
          </cell>
          <cell r="G159" t="str">
            <v>R</v>
          </cell>
          <cell r="H159">
            <v>4</v>
          </cell>
          <cell r="I159" t="str">
            <v>Km/Jam</v>
          </cell>
        </row>
        <row r="160">
          <cell r="C160" t="str">
            <v>- Pacul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- Sendok Semen</v>
          </cell>
          <cell r="D161" t="str">
            <v>=  2  buah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- Ember Cor</v>
          </cell>
          <cell r="D162" t="str">
            <v>=  4  buah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- Gerobak Dorong</v>
          </cell>
          <cell r="D163" t="str">
            <v>=  1  buah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>3.</v>
          </cell>
          <cell r="C165" t="str">
            <v>TENAGA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>Produksi Pasangan Batu dengan Mortar dalam 1 hari</v>
          </cell>
          <cell r="D166" t="str">
            <v>:  3.1 (3)</v>
          </cell>
          <cell r="G166" t="str">
            <v>Qt</v>
          </cell>
          <cell r="H166">
            <v>4</v>
          </cell>
          <cell r="I166" t="str">
            <v>M3</v>
          </cell>
          <cell r="J166" t="str">
            <v>Analisa EI-314</v>
          </cell>
          <cell r="T166" t="str">
            <v>Analisa EI-321</v>
          </cell>
        </row>
        <row r="167">
          <cell r="A167" t="str">
            <v>JENIS PEKERJAAN</v>
          </cell>
          <cell r="C167" t="str">
            <v>Kebutuhan tenaga :</v>
          </cell>
          <cell r="D167" t="str">
            <v>- Mandor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A168" t="str">
            <v>SATUAN PEMBAYARAN</v>
          </cell>
          <cell r="D168" t="str">
            <v>- Tukang Batu</v>
          </cell>
          <cell r="G168" t="str">
            <v>Tb</v>
          </cell>
          <cell r="H168">
            <v>2</v>
          </cell>
          <cell r="I168" t="str">
            <v>orang</v>
          </cell>
          <cell r="L168" t="str">
            <v>FORMULIR STANDAR UNTUK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  <cell r="J169" t="str">
            <v>Lanjutan</v>
          </cell>
          <cell r="L169" t="str">
            <v>PEREKAMAN ANALISA MASING-MASING HARGA SATUAN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Berlanjut ke halaman berikut</v>
          </cell>
          <cell r="L171" t="str">
            <v>PROYEK</v>
          </cell>
          <cell r="O171" t="str">
            <v>:  Peningkatan Jalan dan Jembatan Wilayah Barat</v>
          </cell>
        </row>
        <row r="172">
          <cell r="A172" t="str">
            <v>ITEM PEMBAYARAN NO.</v>
          </cell>
          <cell r="D172" t="str">
            <v>:  2.2</v>
          </cell>
          <cell r="J172" t="str">
            <v xml:space="preserve">Analisa LI-22 </v>
          </cell>
          <cell r="L172" t="str">
            <v>No. PAKET KONTRAK</v>
          </cell>
          <cell r="O172" t="str">
            <v xml:space="preserve">: </v>
          </cell>
        </row>
        <row r="173">
          <cell r="A173" t="str">
            <v>JENIS PEKERJAAN</v>
          </cell>
          <cell r="D173" t="str">
            <v>:  Pasangan Batu Dengan Mortar</v>
          </cell>
          <cell r="J173" t="str">
            <v>Analisa El-85</v>
          </cell>
          <cell r="L173" t="str">
            <v>PEKERJAAN</v>
          </cell>
          <cell r="O173" t="str">
            <v>:  Pembangunan Jembatan Beton Tersebar di Wilayah Barat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M3</v>
          </cell>
          <cell r="J174" t="str">
            <v xml:space="preserve">         URAIAN ANALISA HARGA SATUAN</v>
          </cell>
          <cell r="L174" t="str">
            <v>KABUPATEN</v>
          </cell>
          <cell r="O174" t="str">
            <v>:  Lampung Timur</v>
          </cell>
        </row>
        <row r="175">
          <cell r="A175" t="str">
            <v>SATUAN PEMBAYARAN</v>
          </cell>
          <cell r="C175" t="str">
            <v>- Maju</v>
          </cell>
          <cell r="D175" t="str">
            <v>= (L x 60) / (F x 1000)</v>
          </cell>
          <cell r="G175" t="str">
            <v>Tb1</v>
          </cell>
          <cell r="H175">
            <v>1.5</v>
          </cell>
          <cell r="I175" t="str">
            <v>menit</v>
          </cell>
          <cell r="J175" t="str">
            <v>Lanjutan</v>
          </cell>
          <cell r="L175" t="str">
            <v>ITEM PEMBAYARAN NO.</v>
          </cell>
          <cell r="O175" t="str">
            <v>:  3.2 (1)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 t="str">
            <v>JENIS PEKERJAAN</v>
          </cell>
          <cell r="O176" t="str">
            <v>:  Urugan Biasa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  <cell r="L177" t="str">
            <v>SATUAN PEMBAYARAN</v>
          </cell>
          <cell r="O177" t="str">
            <v>:  M3</v>
          </cell>
        </row>
        <row r="178">
          <cell r="A178" t="str">
            <v>No.</v>
          </cell>
          <cell r="C178" t="str">
            <v>U R A I A N</v>
          </cell>
          <cell r="G178" t="str">
            <v>Tb</v>
          </cell>
          <cell r="H178">
            <v>2.8250000000000002</v>
          </cell>
          <cell r="I178" t="str">
            <v>menit</v>
          </cell>
          <cell r="J178" t="str">
            <v>KETERANGAN</v>
          </cell>
        </row>
        <row r="180"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  <cell r="Q180" t="str">
            <v>PERKIRAAN</v>
          </cell>
          <cell r="R180" t="str">
            <v>HARGA SATUAN</v>
          </cell>
          <cell r="S180" t="str">
            <v>JUMLAH HARGA</v>
          </cell>
        </row>
        <row r="181">
          <cell r="C181" t="str">
            <v>Koefisien Tenaga / M3   :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NO.</v>
          </cell>
          <cell r="N181" t="str">
            <v>KOMPONEN</v>
          </cell>
          <cell r="P181" t="str">
            <v>SATUAN</v>
          </cell>
          <cell r="Q181" t="str">
            <v>KUANTITAS</v>
          </cell>
          <cell r="R181" t="str">
            <v>(Rp.)</v>
          </cell>
          <cell r="S181" t="str">
            <v>(Rp.)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>-  Tukang</v>
          </cell>
          <cell r="E183" t="str">
            <v>= (Tk x Tb) : Qt</v>
          </cell>
          <cell r="G183" t="str">
            <v>(L02)</v>
          </cell>
          <cell r="H183">
            <v>3.5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  <cell r="L184" t="str">
            <v>A.</v>
          </cell>
          <cell r="N184" t="str">
            <v>TENAGA</v>
          </cell>
        </row>
        <row r="186">
          <cell r="A186" t="str">
            <v>4.</v>
          </cell>
          <cell r="C186" t="str">
            <v>HARGA DASAR SATUAN UPAH, BAHAN DAN ALAT</v>
          </cell>
          <cell r="G186" t="str">
            <v>(E16 )</v>
          </cell>
          <cell r="L186" t="str">
            <v>1.</v>
          </cell>
          <cell r="N186" t="str">
            <v>Pekerja</v>
          </cell>
          <cell r="O186" t="str">
            <v>(L01)</v>
          </cell>
          <cell r="P186" t="str">
            <v>Jam</v>
          </cell>
          <cell r="Q186">
            <v>5.7099999999999998E-2</v>
          </cell>
          <cell r="R186">
            <v>2500</v>
          </cell>
          <cell r="U186">
            <v>142.75</v>
          </cell>
        </row>
        <row r="187">
          <cell r="C187" t="str">
            <v>Lihat lampiran.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2.</v>
          </cell>
          <cell r="N187" t="str">
            <v>Mandor</v>
          </cell>
          <cell r="O187" t="str">
            <v>(L03)</v>
          </cell>
          <cell r="P187" t="str">
            <v>Jam</v>
          </cell>
          <cell r="Q187">
            <v>1.43E-2</v>
          </cell>
          <cell r="R187">
            <v>3571.43</v>
          </cell>
          <cell r="U187">
            <v>51.07</v>
          </cell>
        </row>
        <row r="188">
          <cell r="C188" t="str">
            <v>- Pacul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ANALISA HARGA SATUAN PEKERJAAN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Lihat perhitungan dalam FORMULIR STANDAR UNTUK</v>
          </cell>
          <cell r="G190" t="str">
            <v>Fa</v>
          </cell>
          <cell r="H190">
            <v>0.83</v>
          </cell>
          <cell r="I190" t="str">
            <v>-</v>
          </cell>
          <cell r="Q190" t="str">
            <v xml:space="preserve">JUMLAH HARGA TENAGA   </v>
          </cell>
          <cell r="U190">
            <v>193.82</v>
          </cell>
        </row>
        <row r="191">
          <cell r="C191" t="str">
            <v>PEREKEMAN ANALISA MASING-MASING HARGA</v>
          </cell>
        </row>
        <row r="192">
          <cell r="A192" t="str">
            <v xml:space="preserve">   3.</v>
          </cell>
          <cell r="C192" t="str">
            <v>SATUAN.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  <cell r="L192" t="str">
            <v>B.</v>
          </cell>
          <cell r="N192" t="str">
            <v>BAHAN</v>
          </cell>
        </row>
        <row r="193">
          <cell r="C193" t="str">
            <v>Didapat Harga Satuan Pekerjaan :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Produksi Galian / hari  =  Tk x Q1</v>
          </cell>
          <cell r="D194" t="str">
            <v xml:space="preserve"> =  1  :  Q2</v>
          </cell>
          <cell r="G194" t="str">
            <v>Qt</v>
          </cell>
          <cell r="H194">
            <v>148.16</v>
          </cell>
          <cell r="I194" t="str">
            <v>M3</v>
          </cell>
          <cell r="L194" t="str">
            <v>1.</v>
          </cell>
          <cell r="N194" t="str">
            <v>Material timbunan (M08)</v>
          </cell>
          <cell r="P194" t="str">
            <v>M3</v>
          </cell>
          <cell r="Q194">
            <v>1.2</v>
          </cell>
          <cell r="R194">
            <v>5000</v>
          </cell>
          <cell r="U194">
            <v>6000</v>
          </cell>
        </row>
        <row r="195">
          <cell r="C195" t="str">
            <v xml:space="preserve">Rp.  </v>
          </cell>
          <cell r="D195">
            <v>291840.97000000003</v>
          </cell>
          <cell r="E195" t="str">
            <v xml:space="preserve"> / M3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C198" t="str">
            <v>- Kereta dorong</v>
          </cell>
          <cell r="D198" t="str">
            <v>=  2  buah.</v>
          </cell>
        </row>
        <row r="199">
          <cell r="C199" t="str">
            <v>Koefisien tenaga / M3   :</v>
          </cell>
          <cell r="D199" t="str">
            <v>=  3  buah.</v>
          </cell>
        </row>
        <row r="200">
          <cell r="C200" t="str">
            <v>- Garpu</v>
          </cell>
          <cell r="D200" t="str">
            <v>- Pekerja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Q201" t="str">
            <v xml:space="preserve">JUMLAH HARGA BAHAN   </v>
          </cell>
          <cell r="U201">
            <v>6000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HARGA DASAR SATUAN UPAH, BAHAN DAN ALAT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C.</v>
          </cell>
          <cell r="N203" t="str">
            <v>PERALATAN</v>
          </cell>
        </row>
        <row r="204">
          <cell r="C204" t="str">
            <v>Lihat lampiran.</v>
          </cell>
          <cell r="G204" t="str">
            <v>Qt</v>
          </cell>
          <cell r="H204">
            <v>261.45</v>
          </cell>
          <cell r="I204" t="str">
            <v>M3</v>
          </cell>
          <cell r="L204" t="str">
            <v>1.</v>
          </cell>
          <cell r="N204" t="str">
            <v>Whell  Loader</v>
          </cell>
          <cell r="O204" t="str">
            <v>(E15)</v>
          </cell>
          <cell r="P204" t="str">
            <v>Jam</v>
          </cell>
          <cell r="Q204">
            <v>1.43E-2</v>
          </cell>
          <cell r="R204">
            <v>143049.93</v>
          </cell>
          <cell r="U204">
            <v>2045.61</v>
          </cell>
        </row>
        <row r="205">
          <cell r="C205" t="str">
            <v>Kebutuhan tenaga :</v>
          </cell>
          <cell r="L205" t="str">
            <v>2.</v>
          </cell>
          <cell r="N205" t="str">
            <v>Dump Truck</v>
          </cell>
          <cell r="O205" t="str">
            <v>(E08)</v>
          </cell>
          <cell r="P205" t="str">
            <v>Jam</v>
          </cell>
          <cell r="Q205">
            <v>3.3099999999999997E-2</v>
          </cell>
          <cell r="R205">
            <v>82267.929999999993</v>
          </cell>
          <cell r="U205">
            <v>2723.07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3.</v>
          </cell>
          <cell r="N206" t="str">
            <v>Motor Grader</v>
          </cell>
          <cell r="O206" t="str">
            <v>(E13)</v>
          </cell>
          <cell r="P206" t="str">
            <v>Jam</v>
          </cell>
          <cell r="Q206">
            <v>1.17E-2</v>
          </cell>
          <cell r="R206">
            <v>182896.93</v>
          </cell>
          <cell r="U206">
            <v>2139.89</v>
          </cell>
        </row>
        <row r="207">
          <cell r="C207" t="str">
            <v>Lihat perhitungan dalam FORMULIR STANDAR UNTUK</v>
          </cell>
          <cell r="D207" t="str">
            <v>- Mandor</v>
          </cell>
          <cell r="G207" t="str">
            <v>M</v>
          </cell>
          <cell r="H207">
            <v>5</v>
          </cell>
          <cell r="I207" t="str">
            <v>orang</v>
          </cell>
          <cell r="L207" t="str">
            <v>3.</v>
          </cell>
          <cell r="N207" t="str">
            <v>Vibro Roller</v>
          </cell>
          <cell r="O207" t="str">
            <v>(E19)</v>
          </cell>
          <cell r="P207" t="str">
            <v>Jam</v>
          </cell>
          <cell r="Q207">
            <v>2.1399999999999999E-2</v>
          </cell>
          <cell r="R207">
            <v>106334.43</v>
          </cell>
          <cell r="U207">
            <v>2275.56</v>
          </cell>
        </row>
        <row r="208">
          <cell r="C208" t="str">
            <v>PEREKEMAN ANALISA MASING-MASING HARGA</v>
          </cell>
          <cell r="L208" t="str">
            <v>4.</v>
          </cell>
          <cell r="N208" t="str">
            <v>Water Tanker</v>
          </cell>
          <cell r="O208" t="str">
            <v>(E23)</v>
          </cell>
          <cell r="P208" t="str">
            <v>Jam</v>
          </cell>
          <cell r="Q208">
            <v>2.1100000000000001E-2</v>
          </cell>
          <cell r="R208">
            <v>82267.929999999993</v>
          </cell>
          <cell r="U208">
            <v>1735.85</v>
          </cell>
        </row>
        <row r="209">
          <cell r="C209" t="str">
            <v>SATUAN.</v>
          </cell>
          <cell r="L209" t="str">
            <v>5.</v>
          </cell>
          <cell r="N209" t="str">
            <v>Alat  Bantu</v>
          </cell>
          <cell r="P209" t="str">
            <v>Ls</v>
          </cell>
          <cell r="Q209">
            <v>1</v>
          </cell>
          <cell r="R209">
            <v>1000</v>
          </cell>
          <cell r="U209">
            <v>1000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  <cell r="Q212" t="str">
            <v xml:space="preserve">JUMLAH HARGA PERALATAN   </v>
          </cell>
          <cell r="U212">
            <v>11919.98</v>
          </cell>
        </row>
        <row r="213">
          <cell r="A213" t="str">
            <v>4.</v>
          </cell>
          <cell r="C213" t="str">
            <v>HARGA DASAR SATUAN UPAH, BAHAN DAN ALAT</v>
          </cell>
          <cell r="L213" t="str">
            <v>D.</v>
          </cell>
          <cell r="N213" t="str">
            <v>JUMLAH HARGA TENAGA, BAHAN DAN PERALATAN  ( A + B + C )</v>
          </cell>
          <cell r="U213">
            <v>18113.8</v>
          </cell>
        </row>
        <row r="214">
          <cell r="C214" t="str">
            <v>Lihat lampiran.</v>
          </cell>
          <cell r="L214" t="str">
            <v>E.</v>
          </cell>
          <cell r="N214" t="str">
            <v>OVERHEAD &amp; PROFIT</v>
          </cell>
          <cell r="P214">
            <v>10</v>
          </cell>
          <cell r="Q214" t="str">
            <v>%  x  D</v>
          </cell>
          <cell r="U214">
            <v>1811.38</v>
          </cell>
        </row>
        <row r="215">
          <cell r="L215" t="str">
            <v>F.</v>
          </cell>
          <cell r="N215" t="str">
            <v>HARGA SATUAN PEKERJAAN  ( D + E )</v>
          </cell>
          <cell r="U215">
            <v>19925.18</v>
          </cell>
        </row>
        <row r="216">
          <cell r="A216" t="str">
            <v>5.</v>
          </cell>
          <cell r="C216" t="str">
            <v>ANALISA HARGA SATUAN PEKERJAAN</v>
          </cell>
          <cell r="L216" t="str">
            <v>Note: 1</v>
          </cell>
          <cell r="N216" t="str">
            <v>SATUAN dapat berdasarkan atas jam operasi untuk Tenaga Kerja dan Peralatan, volume dan/atau ukuran berat untuk bahan-bahan</v>
          </cell>
        </row>
        <row r="217">
          <cell r="C217" t="str">
            <v>Lihat perhitungan dalam FORMULIR STANDAR UNTUK</v>
          </cell>
          <cell r="L217">
            <v>2</v>
          </cell>
          <cell r="N217" t="str">
            <v>Kuantitas satuan adalah kuantitas setiap komponen untuk menyelesaikan satu satuan pekerjaan dari nomor mata pembayaran</v>
          </cell>
        </row>
        <row r="218">
          <cell r="C218" t="str">
            <v>PEREKAMAN ANALISA MASING-MASING HARGA</v>
          </cell>
          <cell r="L218">
            <v>3</v>
          </cell>
          <cell r="N218" t="str">
            <v>Biaya satuan untuk peralatan sudah termasuk bahan bakar, bahan habis dipakai dan operator.</v>
          </cell>
        </row>
        <row r="219">
          <cell r="C219" t="str">
            <v>SATUAN.</v>
          </cell>
          <cell r="L219">
            <v>4</v>
          </cell>
          <cell r="N219" t="str">
            <v>Biaya satuan sudah termasuk pengeluaran untuk seluruh pajak yang berkaitan (tetapi tidak termasuk PPN yang dibayar dari kontrak )</v>
          </cell>
        </row>
        <row r="220">
          <cell r="N220" t="str">
            <v>dan biaya-biaya lainnya.</v>
          </cell>
        </row>
        <row r="221">
          <cell r="A221" t="str">
            <v>ITEM PEMBAYARAN NO.</v>
          </cell>
          <cell r="C221" t="str">
            <v>Rp.</v>
          </cell>
          <cell r="D221" t="str">
            <v>:  3.1 (5)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</sheetData>
      <sheetData sheetId="9" refreshError="1">
        <row r="1">
          <cell r="A1" t="str">
            <v>ITEM PEMBAYARAN NO.</v>
          </cell>
          <cell r="B1" t="str">
            <v>ANALISA BIAYA SEWA PERALATAN PER JAM KERJA</v>
          </cell>
          <cell r="D1" t="str">
            <v>:  3.1 (1)</v>
          </cell>
          <cell r="J1" t="str">
            <v>Analisa EI-311</v>
          </cell>
          <cell r="T1" t="str">
            <v>Analisa EI-311</v>
          </cell>
        </row>
        <row r="2">
          <cell r="A2" t="str">
            <v>JENIS PEKERJAAN</v>
          </cell>
          <cell r="D2" t="str">
            <v>:  Galian Biasa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  <cell r="L3" t="str">
            <v>FORMULIR STANDAR UNTUK</v>
          </cell>
        </row>
        <row r="4">
          <cell r="F4" t="str">
            <v>TENAGA</v>
          </cell>
          <cell r="G4" t="str">
            <v>KAPASITAS</v>
          </cell>
          <cell r="I4" t="str">
            <v>HARGA</v>
          </cell>
          <cell r="J4" t="str">
            <v>ALAT  YANG  DIPAKAI</v>
          </cell>
          <cell r="L4" t="str">
            <v>PEREKAMAN ANALISA MASING-MASING HARGA SATUAN</v>
          </cell>
          <cell r="M4" t="str">
            <v>NILAI</v>
          </cell>
          <cell r="N4" t="str">
            <v>FAKTOR</v>
          </cell>
          <cell r="O4" t="str">
            <v>BIAYA PASTI PER JAM</v>
          </cell>
          <cell r="R4" t="str">
            <v>BIAYA OPERASI PER JAM KERJA</v>
          </cell>
        </row>
        <row r="5">
          <cell r="F5" t="str">
            <v>ALAT</v>
          </cell>
          <cell r="G5" t="str">
            <v>ALAT</v>
          </cell>
          <cell r="I5" t="str">
            <v>ALAT</v>
          </cell>
          <cell r="M5" t="str">
            <v>SISA</v>
          </cell>
          <cell r="N5" t="str">
            <v>PENGEM-</v>
          </cell>
          <cell r="O5" t="str">
            <v>BIAYA</v>
          </cell>
          <cell r="P5" t="str">
            <v>ASURANSI</v>
          </cell>
          <cell r="Q5" t="str">
            <v>TOTAL</v>
          </cell>
          <cell r="R5" t="str">
            <v>BAHAN BAKAR &amp; PELUMAS</v>
          </cell>
          <cell r="U5" t="str">
            <v>WORKSHOP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HARGA</v>
          </cell>
          <cell r="M6" t="str">
            <v>ALAT</v>
          </cell>
          <cell r="N6" t="str">
            <v>BALIAN</v>
          </cell>
          <cell r="O6" t="str">
            <v>PENGEM-</v>
          </cell>
          <cell r="P6" t="str">
            <v>DAN</v>
          </cell>
          <cell r="Q6" t="str">
            <v>BIAYA</v>
          </cell>
          <cell r="R6" t="str">
            <v>BAHAN</v>
          </cell>
          <cell r="S6" t="str">
            <v>MINYAK</v>
          </cell>
        </row>
        <row r="7">
          <cell r="J7" t="str">
            <v>ALAT</v>
          </cell>
          <cell r="L7" t="str">
            <v>PROYEK</v>
          </cell>
          <cell r="N7" t="str">
            <v>MODAL</v>
          </cell>
          <cell r="O7" t="str">
            <v>:  Peningkatan Jalan dan Jembatan Wilayah Barat</v>
          </cell>
          <cell r="P7" t="str">
            <v>LAIN-LAIN</v>
          </cell>
          <cell r="Q7" t="str">
            <v>PASTI / JAM</v>
          </cell>
          <cell r="R7" t="str">
            <v>BAKAR</v>
          </cell>
          <cell r="S7" t="str">
            <v>PELUMAS</v>
          </cell>
          <cell r="T7" t="str">
            <v>BIAYA</v>
          </cell>
          <cell r="U7" t="str">
            <v>KOEF.</v>
          </cell>
          <cell r="V7" t="str">
            <v>BIAYA</v>
          </cell>
        </row>
        <row r="8">
          <cell r="L8" t="str">
            <v>No. PAKET KONTRAK</v>
          </cell>
          <cell r="O8" t="str">
            <v xml:space="preserve">: </v>
          </cell>
        </row>
        <row r="9">
          <cell r="A9" t="str">
            <v>I.</v>
          </cell>
          <cell r="C9" t="str">
            <v>ASUMSI</v>
          </cell>
          <cell r="F9" t="str">
            <v>(HP)</v>
          </cell>
          <cell r="G9" t="str">
            <v>-</v>
          </cell>
          <cell r="I9" t="str">
            <v>Rp.</v>
          </cell>
          <cell r="J9" t="str">
            <v>(Tahun)</v>
          </cell>
          <cell r="L9" t="str">
            <v>NAMA PAKET</v>
          </cell>
          <cell r="M9" t="str">
            <v>(Rp.)</v>
          </cell>
          <cell r="N9" t="str">
            <v>-</v>
          </cell>
          <cell r="O9" t="str">
            <v>:  Pembangunan Jembatan Beton Tersebar di Wilayah Barat</v>
          </cell>
          <cell r="P9" t="str">
            <v>(Rp.)</v>
          </cell>
          <cell r="Q9" t="str">
            <v>(Rp.)</v>
          </cell>
          <cell r="R9" t="str">
            <v>Lt/HP/Jam</v>
          </cell>
          <cell r="S9" t="str">
            <v>Ltr/HP/Jam</v>
          </cell>
          <cell r="T9" t="str">
            <v>(Rp.)</v>
          </cell>
          <cell r="U9" t="str">
            <v>-</v>
          </cell>
          <cell r="V9" t="str">
            <v>(Rp.)</v>
          </cell>
        </row>
        <row r="10">
          <cell r="A10">
            <v>1</v>
          </cell>
          <cell r="B10" t="str">
            <v>No.</v>
          </cell>
          <cell r="C10" t="str">
            <v>Menggunakan alat berat (cara mekanik)</v>
          </cell>
          <cell r="E10" t="str">
            <v>KODE</v>
          </cell>
          <cell r="L10" t="str">
            <v>KABUPATEN</v>
          </cell>
          <cell r="O10" t="str">
            <v>:  Lampung Timur</v>
          </cell>
          <cell r="T10" t="str">
            <v>f1 x HP x</v>
          </cell>
        </row>
        <row r="11">
          <cell r="A11">
            <v>2</v>
          </cell>
          <cell r="C11" t="str">
            <v>Lokasi pekerjaan : Sekitar Jembatan</v>
          </cell>
          <cell r="E11" t="str">
            <v>ALAT</v>
          </cell>
          <cell r="L11" t="str">
            <v>ITEM PEMBAYARAN NO.</v>
          </cell>
          <cell r="N11" t="str">
            <v>i(1+i)^A</v>
          </cell>
          <cell r="O11" t="str">
            <v>:  3.1 (1)</v>
          </cell>
          <cell r="P11" t="str">
            <v>0.002 x B</v>
          </cell>
          <cell r="R11" t="str">
            <v>0.125</v>
          </cell>
          <cell r="S11" t="str">
            <v>0.01</v>
          </cell>
          <cell r="T11" t="str">
            <v>Harga BBM</v>
          </cell>
          <cell r="U11" t="str">
            <v>0.0625</v>
          </cell>
          <cell r="V11" t="str">
            <v>(g1 x B')</v>
          </cell>
        </row>
        <row r="12">
          <cell r="A12">
            <v>3</v>
          </cell>
          <cell r="C12" t="str">
            <v>Kondisi Jalan   :  sedang / baik</v>
          </cell>
          <cell r="L12" t="str">
            <v>JENIS PEKERJAAN</v>
          </cell>
          <cell r="M12" t="str">
            <v>(10% X B)</v>
          </cell>
          <cell r="N12" t="str">
            <v>-----------</v>
          </cell>
          <cell r="O12" t="str">
            <v>:  Galian Biasa</v>
          </cell>
          <cell r="P12" t="str">
            <v>-----------</v>
          </cell>
          <cell r="Q12" t="str">
            <v>(e1 + e2)</v>
          </cell>
          <cell r="R12" t="str">
            <v>s / d</v>
          </cell>
          <cell r="S12" t="str">
            <v>s / d</v>
          </cell>
          <cell r="T12" t="str">
            <v>+</v>
          </cell>
          <cell r="U12" t="str">
            <v>s / d</v>
          </cell>
          <cell r="V12" t="str">
            <v>-----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SATUAN PEMBAYARAN</v>
          </cell>
          <cell r="N13" t="str">
            <v>(1+i)^A-1</v>
          </cell>
          <cell r="O13" t="str">
            <v>:  M3</v>
          </cell>
          <cell r="P13" t="str">
            <v>W</v>
          </cell>
          <cell r="R13" t="str">
            <v>0.175</v>
          </cell>
          <cell r="S13" t="str">
            <v>0.02</v>
          </cell>
          <cell r="T13" t="str">
            <v>f2 x HP x</v>
          </cell>
          <cell r="U13" t="str">
            <v>0.0875</v>
          </cell>
          <cell r="V13" t="str">
            <v>W</v>
          </cell>
        </row>
        <row r="14">
          <cell r="A14">
            <v>5</v>
          </cell>
          <cell r="C14" t="str">
            <v>Faktor pengembangan bahan</v>
          </cell>
          <cell r="G14" t="str">
            <v>Fk</v>
          </cell>
          <cell r="H14">
            <v>1.2</v>
          </cell>
          <cell r="I14" t="str">
            <v>-</v>
          </cell>
          <cell r="T14" t="str">
            <v>Harga Olie</v>
          </cell>
        </row>
        <row r="15">
          <cell r="A15">
            <v>6</v>
          </cell>
          <cell r="C15" t="str">
            <v>Faktor kembang material (Padat-Lepas)</v>
          </cell>
          <cell r="F15" t="str">
            <v>HP</v>
          </cell>
          <cell r="G15" t="str">
            <v>Fk</v>
          </cell>
          <cell r="H15">
            <v>1.6667000000000001</v>
          </cell>
          <cell r="I15" t="str">
            <v>-</v>
          </cell>
          <cell r="J15" t="str">
            <v>A</v>
          </cell>
          <cell r="L15" t="str">
            <v>B</v>
          </cell>
          <cell r="M15" t="str">
            <v>C</v>
          </cell>
          <cell r="N15" t="str">
            <v>D</v>
          </cell>
          <cell r="O15" t="str">
            <v>e1</v>
          </cell>
          <cell r="P15" t="str">
            <v>e2</v>
          </cell>
          <cell r="Q15" t="str">
            <v>E</v>
          </cell>
          <cell r="R15" t="str">
            <v>f1</v>
          </cell>
          <cell r="S15" t="str">
            <v>f2</v>
          </cell>
          <cell r="T15" t="str">
            <v>F</v>
          </cell>
          <cell r="U15" t="str">
            <v>g1</v>
          </cell>
          <cell r="V15" t="str">
            <v>G</v>
          </cell>
        </row>
        <row r="16">
          <cell r="A16" t="str">
            <v>II.</v>
          </cell>
          <cell r="B16" t="str">
            <v>1</v>
          </cell>
          <cell r="C16" t="str">
            <v>URUTAN KERJA</v>
          </cell>
          <cell r="E16" t="str">
            <v>2a</v>
          </cell>
          <cell r="F16" t="str">
            <v>3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>6</v>
          </cell>
          <cell r="L16" t="str">
            <v>8</v>
          </cell>
          <cell r="M16" t="str">
            <v>9</v>
          </cell>
          <cell r="N16" t="str">
            <v>10</v>
          </cell>
          <cell r="O16" t="str">
            <v>11</v>
          </cell>
          <cell r="P16" t="str">
            <v>12</v>
          </cell>
          <cell r="Q16" t="str">
            <v>PERKIRAAN</v>
          </cell>
          <cell r="R16" t="str">
            <v>HARGA SATUAN</v>
          </cell>
          <cell r="S16" t="str">
            <v>JUMLAH HARGA</v>
          </cell>
          <cell r="T16" t="str">
            <v>16</v>
          </cell>
          <cell r="U16" t="str">
            <v>17</v>
          </cell>
          <cell r="V16" t="str">
            <v>18</v>
          </cell>
        </row>
        <row r="17">
          <cell r="A17">
            <v>1</v>
          </cell>
          <cell r="C17" t="str">
            <v>Tanah yang dipotong umumnya berada disisi jalan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L17" t="str">
            <v>NO.</v>
          </cell>
          <cell r="N17" t="str">
            <v>KOMPONEN</v>
          </cell>
          <cell r="P17" t="str">
            <v>SATUAN</v>
          </cell>
          <cell r="Q17" t="str">
            <v>KUANTITAS</v>
          </cell>
          <cell r="R17" t="str">
            <v>(Rp.)</v>
          </cell>
          <cell r="S17" t="str">
            <v>(Rp.)</v>
          </cell>
        </row>
        <row r="18">
          <cell r="A18">
            <v>2</v>
          </cell>
          <cell r="B18" t="str">
            <v>1.</v>
          </cell>
          <cell r="C18" t="str">
            <v>Penggalian dilakukan dengan menggunakan Excavator</v>
          </cell>
          <cell r="D18" t="str">
            <v>- Batu pecah 10/15</v>
          </cell>
          <cell r="E18" t="str">
            <v>E01</v>
          </cell>
          <cell r="F18">
            <v>150</v>
          </cell>
          <cell r="G18" t="str">
            <v>Ah</v>
          </cell>
          <cell r="H18">
            <v>50</v>
          </cell>
          <cell r="I18" t="str">
            <v>%</v>
          </cell>
          <cell r="J18">
            <v>10</v>
          </cell>
          <cell r="L18">
            <v>1500000000</v>
          </cell>
          <cell r="M18">
            <v>150000000</v>
          </cell>
          <cell r="N18">
            <v>0.23849999999999999</v>
          </cell>
          <cell r="O18">
            <v>214650</v>
          </cell>
          <cell r="P18">
            <v>2000</v>
          </cell>
          <cell r="Q18">
            <v>216650</v>
          </cell>
          <cell r="R18" t="str">
            <v>(Rp.)</v>
          </cell>
          <cell r="S18" t="str">
            <v>(Rp.)</v>
          </cell>
          <cell r="T18">
            <v>486525</v>
          </cell>
          <cell r="U18">
            <v>0</v>
          </cell>
          <cell r="V18">
            <v>0</v>
          </cell>
        </row>
        <row r="19">
          <cell r="A19">
            <v>3</v>
          </cell>
          <cell r="B19" t="str">
            <v>2.</v>
          </cell>
          <cell r="C19" t="str">
            <v>Selanjutnya Excavator menuangkan material hasil</v>
          </cell>
          <cell r="D19" t="str">
            <v>- Batu pecah 5/7</v>
          </cell>
          <cell r="E19" t="str">
            <v>E02</v>
          </cell>
          <cell r="F19">
            <v>47</v>
          </cell>
          <cell r="G19" t="str">
            <v>St</v>
          </cell>
          <cell r="H19">
            <v>20</v>
          </cell>
          <cell r="I19" t="str">
            <v>%</v>
          </cell>
          <cell r="J19">
            <v>6</v>
          </cell>
          <cell r="L19">
            <v>750000000</v>
          </cell>
          <cell r="M19">
            <v>75000000</v>
          </cell>
          <cell r="N19">
            <v>0.30070000000000002</v>
          </cell>
          <cell r="O19">
            <v>101486.25</v>
          </cell>
          <cell r="P19">
            <v>750</v>
          </cell>
          <cell r="Q19">
            <v>102236.25</v>
          </cell>
          <cell r="R19">
            <v>0.125</v>
          </cell>
          <cell r="S19">
            <v>0.01</v>
          </cell>
          <cell r="T19">
            <v>18212.5</v>
          </cell>
          <cell r="U19">
            <v>0</v>
          </cell>
          <cell r="V19">
            <v>0</v>
          </cell>
        </row>
        <row r="20">
          <cell r="A20">
            <v>3</v>
          </cell>
          <cell r="B20" t="str">
            <v>3.</v>
          </cell>
          <cell r="C20" t="str">
            <v>galian kedalam Dump Truck</v>
          </cell>
          <cell r="D20" t="str">
            <v>ASPHALT SPRAYER</v>
          </cell>
          <cell r="E20" t="str">
            <v>E03</v>
          </cell>
          <cell r="F20">
            <v>15</v>
          </cell>
          <cell r="G20">
            <v>800</v>
          </cell>
          <cell r="H20" t="str">
            <v>Liter</v>
          </cell>
          <cell r="I20">
            <v>60000000</v>
          </cell>
          <cell r="J20">
            <v>5</v>
          </cell>
          <cell r="L20" t="str">
            <v>A.</v>
          </cell>
          <cell r="M20">
            <v>6000000</v>
          </cell>
          <cell r="N20" t="str">
            <v>TENAGA</v>
          </cell>
          <cell r="O20">
            <v>9028.7999999999993</v>
          </cell>
          <cell r="P20">
            <v>60</v>
          </cell>
          <cell r="Q20">
            <v>9088.7999999999993</v>
          </cell>
          <cell r="R20">
            <v>0.125</v>
          </cell>
          <cell r="S20">
            <v>0.01</v>
          </cell>
          <cell r="T20">
            <v>5812.5</v>
          </cell>
          <cell r="U20">
            <v>0</v>
          </cell>
          <cell r="V20">
            <v>0</v>
          </cell>
        </row>
        <row r="21">
          <cell r="A21">
            <v>4</v>
          </cell>
          <cell r="B21" t="str">
            <v>4.</v>
          </cell>
          <cell r="C21" t="str">
            <v>Dump Truck membuang material hasil galian keluar</v>
          </cell>
          <cell r="D21" t="str">
            <v>BULLDOZER 100-150 HP</v>
          </cell>
          <cell r="E21" t="str">
            <v>E04</v>
          </cell>
          <cell r="F21">
            <v>140</v>
          </cell>
          <cell r="G21" t="str">
            <v>L</v>
          </cell>
          <cell r="H21">
            <v>1</v>
          </cell>
          <cell r="I21" t="str">
            <v>Km</v>
          </cell>
          <cell r="J21">
            <v>5</v>
          </cell>
          <cell r="L21" t="str">
            <v>A.</v>
          </cell>
          <cell r="M21">
            <v>55000000</v>
          </cell>
          <cell r="N21" t="str">
            <v>TENAGA</v>
          </cell>
          <cell r="O21">
            <v>82764</v>
          </cell>
          <cell r="P21">
            <v>550</v>
          </cell>
          <cell r="Q21">
            <v>83314</v>
          </cell>
          <cell r="R21">
            <v>0.125</v>
          </cell>
          <cell r="S21">
            <v>0.01</v>
          </cell>
          <cell r="T21">
            <v>54250</v>
          </cell>
          <cell r="U21">
            <v>0</v>
          </cell>
          <cell r="V21">
            <v>0</v>
          </cell>
        </row>
        <row r="22">
          <cell r="A22">
            <v>4</v>
          </cell>
          <cell r="B22" t="str">
            <v>5.</v>
          </cell>
          <cell r="C22" t="str">
            <v>lokasi jalan sejauh</v>
          </cell>
          <cell r="D22" t="str">
            <v>COMPRESSOR 4000-6500 L\M</v>
          </cell>
          <cell r="E22" t="str">
            <v>E05</v>
          </cell>
          <cell r="F22">
            <v>80</v>
          </cell>
          <cell r="G22" t="str">
            <v>L</v>
          </cell>
          <cell r="H22">
            <v>1</v>
          </cell>
          <cell r="I22" t="str">
            <v>Km</v>
          </cell>
          <cell r="J22">
            <v>5</v>
          </cell>
          <cell r="L22" t="str">
            <v>1.</v>
          </cell>
          <cell r="M22">
            <v>5000000</v>
          </cell>
          <cell r="N22" t="str">
            <v>Pekerja</v>
          </cell>
          <cell r="O22" t="str">
            <v>(L01)</v>
          </cell>
          <cell r="P22" t="str">
            <v>Jam</v>
          </cell>
          <cell r="Q22">
            <v>6.4299999999999996E-2</v>
          </cell>
          <cell r="R22">
            <v>2500</v>
          </cell>
          <cell r="S22">
            <v>0.01</v>
          </cell>
          <cell r="T22">
            <v>31000</v>
          </cell>
          <cell r="U22">
            <v>160.75</v>
          </cell>
          <cell r="V22">
            <v>0</v>
          </cell>
        </row>
        <row r="23">
          <cell r="A23">
            <v>2</v>
          </cell>
          <cell r="B23" t="str">
            <v>6.</v>
          </cell>
          <cell r="C23" t="str">
            <v>Dump Truck mengangkut Agregat ke lokasi</v>
          </cell>
          <cell r="D23" t="str">
            <v>CONCRETE MIXER 0.3-0.6 M3</v>
          </cell>
          <cell r="E23" t="str">
            <v>E06</v>
          </cell>
          <cell r="F23">
            <v>15</v>
          </cell>
          <cell r="G23">
            <v>500</v>
          </cell>
          <cell r="H23" t="str">
            <v>Liter</v>
          </cell>
          <cell r="I23">
            <v>30000000</v>
          </cell>
          <cell r="J23">
            <v>4</v>
          </cell>
          <cell r="L23" t="str">
            <v>2.</v>
          </cell>
          <cell r="M23">
            <v>3000000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3.2099999999999997E-2</v>
          </cell>
          <cell r="R23">
            <v>3571.43</v>
          </cell>
          <cell r="S23">
            <v>0.01</v>
          </cell>
          <cell r="T23">
            <v>5812.5</v>
          </cell>
          <cell r="U23">
            <v>114.64</v>
          </cell>
          <cell r="V23">
            <v>0</v>
          </cell>
        </row>
        <row r="24">
          <cell r="A24" t="str">
            <v>III.</v>
          </cell>
          <cell r="B24" t="str">
            <v>7.</v>
          </cell>
          <cell r="C24" t="str">
            <v>PEMAKAIAN BAHAN, ALAT DAN TENAGA</v>
          </cell>
          <cell r="D24" t="str">
            <v>CRANE 10-15 TON</v>
          </cell>
          <cell r="E24" t="str">
            <v>E07</v>
          </cell>
          <cell r="F24">
            <v>150</v>
          </cell>
          <cell r="G24">
            <v>15</v>
          </cell>
          <cell r="H24" t="str">
            <v>Ton</v>
          </cell>
          <cell r="I24">
            <v>350000000</v>
          </cell>
          <cell r="J24">
            <v>5</v>
          </cell>
          <cell r="L24" t="str">
            <v>2.</v>
          </cell>
          <cell r="M24">
            <v>35000000</v>
          </cell>
          <cell r="N24" t="str">
            <v>Mandor</v>
          </cell>
          <cell r="O24" t="str">
            <v>(L03)</v>
          </cell>
          <cell r="P24" t="str">
            <v>jam</v>
          </cell>
          <cell r="Q24">
            <v>3.4799999999999998E-2</v>
          </cell>
          <cell r="R24">
            <v>3571.43</v>
          </cell>
          <cell r="S24">
            <v>0.01</v>
          </cell>
          <cell r="T24">
            <v>58125</v>
          </cell>
          <cell r="U24">
            <v>124.29</v>
          </cell>
          <cell r="V24">
            <v>0</v>
          </cell>
        </row>
        <row r="25">
          <cell r="A25">
            <v>3</v>
          </cell>
          <cell r="B25" t="str">
            <v>8.</v>
          </cell>
          <cell r="C25" t="str">
            <v xml:space="preserve">Selama pemadatan, sekelompok pekerja akan merapikan tepi hamparan </v>
          </cell>
          <cell r="D25" t="str">
            <v>DUMP TRUCK 3-4 M3</v>
          </cell>
          <cell r="E25" t="str">
            <v>E08</v>
          </cell>
          <cell r="F25">
            <v>100</v>
          </cell>
          <cell r="G25">
            <v>6</v>
          </cell>
          <cell r="H25" t="str">
            <v>Ton</v>
          </cell>
          <cell r="I25">
            <v>175000000</v>
          </cell>
          <cell r="J25">
            <v>5</v>
          </cell>
          <cell r="L25">
            <v>175000000</v>
          </cell>
          <cell r="M25">
            <v>17500000</v>
          </cell>
          <cell r="N25">
            <v>0.33439999999999998</v>
          </cell>
          <cell r="O25">
            <v>26334</v>
          </cell>
          <cell r="P25">
            <v>175</v>
          </cell>
          <cell r="Q25">
            <v>26509</v>
          </cell>
          <cell r="R25">
            <v>0.125</v>
          </cell>
          <cell r="S25">
            <v>0.01</v>
          </cell>
          <cell r="T25">
            <v>38750</v>
          </cell>
          <cell r="U25">
            <v>0</v>
          </cell>
          <cell r="V25">
            <v>0</v>
          </cell>
        </row>
        <row r="26">
          <cell r="A26" t="str">
            <v xml:space="preserve">   1.</v>
          </cell>
          <cell r="B26" t="str">
            <v>9.</v>
          </cell>
          <cell r="C26" t="str">
            <v>BAHAN</v>
          </cell>
          <cell r="D26" t="str">
            <v>DUMP TRUCK</v>
          </cell>
          <cell r="E26" t="str">
            <v>E09</v>
          </cell>
          <cell r="F26">
            <v>125</v>
          </cell>
          <cell r="G26">
            <v>8</v>
          </cell>
          <cell r="H26" t="str">
            <v>Ton</v>
          </cell>
          <cell r="I26">
            <v>225000000</v>
          </cell>
          <cell r="J26">
            <v>5</v>
          </cell>
          <cell r="L26">
            <v>225000000</v>
          </cell>
          <cell r="M26">
            <v>22500000</v>
          </cell>
          <cell r="N26">
            <v>0.33439999999999998</v>
          </cell>
          <cell r="O26">
            <v>33858</v>
          </cell>
          <cell r="P26">
            <v>225</v>
          </cell>
          <cell r="Q26" t="str">
            <v>JUMLAH HARGA TENAGA</v>
          </cell>
          <cell r="R26">
            <v>0.125</v>
          </cell>
          <cell r="S26">
            <v>0.01</v>
          </cell>
          <cell r="T26">
            <v>48437.5</v>
          </cell>
          <cell r="U26">
            <v>275.39</v>
          </cell>
          <cell r="V26">
            <v>0</v>
          </cell>
        </row>
        <row r="27">
          <cell r="B27" t="str">
            <v>10.</v>
          </cell>
          <cell r="C27" t="str">
            <v>Tidak ada bahan yang diperlukan</v>
          </cell>
          <cell r="D27" t="str">
            <v>EXCAVATOR 80-140 HP</v>
          </cell>
          <cell r="E27" t="str">
            <v>E10</v>
          </cell>
          <cell r="F27">
            <v>80</v>
          </cell>
          <cell r="G27">
            <v>0.5</v>
          </cell>
          <cell r="H27" t="str">
            <v>M3</v>
          </cell>
          <cell r="I27">
            <v>1000000000</v>
          </cell>
          <cell r="J27">
            <v>5</v>
          </cell>
          <cell r="L27">
            <v>1000000000</v>
          </cell>
          <cell r="M27">
            <v>100000000</v>
          </cell>
          <cell r="N27">
            <v>0.33439999999999998</v>
          </cell>
          <cell r="O27">
            <v>150480</v>
          </cell>
          <cell r="P27">
            <v>1000</v>
          </cell>
          <cell r="Q27">
            <v>151480</v>
          </cell>
          <cell r="R27" t="str">
            <v xml:space="preserve">JUMLAH HARGA TENAGA   </v>
          </cell>
          <cell r="S27">
            <v>0.01</v>
          </cell>
          <cell r="T27">
            <v>31000</v>
          </cell>
          <cell r="U27">
            <v>472.29</v>
          </cell>
          <cell r="V27">
            <v>0</v>
          </cell>
        </row>
        <row r="28">
          <cell r="B28" t="str">
            <v>11.</v>
          </cell>
          <cell r="D28" t="str">
            <v>FLAT BED TRUCK 3-4 M3</v>
          </cell>
          <cell r="E28" t="str">
            <v>E11</v>
          </cell>
          <cell r="F28">
            <v>100</v>
          </cell>
          <cell r="G28">
            <v>4</v>
          </cell>
          <cell r="H28" t="str">
            <v>M3</v>
          </cell>
          <cell r="I28">
            <v>100000000</v>
          </cell>
          <cell r="J28">
            <v>5</v>
          </cell>
          <cell r="L28" t="str">
            <v>B.</v>
          </cell>
          <cell r="M28">
            <v>10000000</v>
          </cell>
          <cell r="N28" t="str">
            <v>BAHAN</v>
          </cell>
          <cell r="O28">
            <v>15048</v>
          </cell>
          <cell r="P28">
            <v>100</v>
          </cell>
          <cell r="Q28">
            <v>15148</v>
          </cell>
          <cell r="R28">
            <v>0.125</v>
          </cell>
          <cell r="S28">
            <v>0.01</v>
          </cell>
          <cell r="T28">
            <v>38750</v>
          </cell>
          <cell r="U28">
            <v>0</v>
          </cell>
          <cell r="V28">
            <v>0</v>
          </cell>
        </row>
        <row r="29">
          <cell r="A29" t="str">
            <v xml:space="preserve">   2.</v>
          </cell>
          <cell r="B29" t="str">
            <v>12.</v>
          </cell>
          <cell r="C29" t="str">
            <v>ALAT</v>
          </cell>
          <cell r="D29" t="str">
            <v>GENERATOR SET</v>
          </cell>
          <cell r="E29" t="str">
            <v>E12</v>
          </cell>
          <cell r="F29">
            <v>175</v>
          </cell>
          <cell r="G29">
            <v>125</v>
          </cell>
          <cell r="H29" t="str">
            <v>KVA</v>
          </cell>
          <cell r="I29">
            <v>40000000</v>
          </cell>
          <cell r="J29">
            <v>5</v>
          </cell>
          <cell r="L29" t="str">
            <v>B.</v>
          </cell>
          <cell r="M29">
            <v>4000000</v>
          </cell>
          <cell r="N29" t="str">
            <v>BAHAN</v>
          </cell>
          <cell r="O29">
            <v>6019.2</v>
          </cell>
          <cell r="P29">
            <v>40</v>
          </cell>
          <cell r="Q29">
            <v>6059.2</v>
          </cell>
          <cell r="R29">
            <v>0.125</v>
          </cell>
          <cell r="S29">
            <v>0.01</v>
          </cell>
          <cell r="T29">
            <v>67812.5</v>
          </cell>
          <cell r="U29">
            <v>0</v>
          </cell>
          <cell r="V29">
            <v>0</v>
          </cell>
        </row>
        <row r="30">
          <cell r="A30" t="str">
            <v xml:space="preserve">   2.a.</v>
          </cell>
          <cell r="B30" t="str">
            <v>13.</v>
          </cell>
          <cell r="C30" t="str">
            <v>EXCAVATOR</v>
          </cell>
          <cell r="D30" t="str">
            <v>MOTOR GRADER &gt;100 HP</v>
          </cell>
          <cell r="E30" t="str">
            <v>E13</v>
          </cell>
          <cell r="F30">
            <v>125</v>
          </cell>
          <cell r="G30" t="str">
            <v>(E10)</v>
          </cell>
          <cell r="H30" t="str">
            <v/>
          </cell>
          <cell r="I30">
            <v>600000000</v>
          </cell>
          <cell r="J30">
            <v>5</v>
          </cell>
          <cell r="L30">
            <v>600000000</v>
          </cell>
          <cell r="M30">
            <v>60000000</v>
          </cell>
          <cell r="N30">
            <v>0.33439999999999998</v>
          </cell>
          <cell r="O30">
            <v>90288</v>
          </cell>
          <cell r="P30">
            <v>600</v>
          </cell>
          <cell r="Q30">
            <v>90888</v>
          </cell>
          <cell r="R30">
            <v>0.125</v>
          </cell>
          <cell r="S30">
            <v>0.01</v>
          </cell>
          <cell r="T30">
            <v>48437.5</v>
          </cell>
          <cell r="U30">
            <v>0</v>
          </cell>
          <cell r="V30">
            <v>0</v>
          </cell>
        </row>
        <row r="31">
          <cell r="B31" t="str">
            <v>14.</v>
          </cell>
          <cell r="C31" t="str">
            <v>Kapasitas Bucket</v>
          </cell>
          <cell r="D31" t="str">
            <v>=  Ak x 1 M3 x Fk</v>
          </cell>
          <cell r="E31" t="str">
            <v>E14</v>
          </cell>
          <cell r="F31">
            <v>90</v>
          </cell>
          <cell r="G31" t="str">
            <v>V</v>
          </cell>
          <cell r="H31">
            <v>0.5</v>
          </cell>
          <cell r="I31" t="str">
            <v>M3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#DIV/0!</v>
          </cell>
        </row>
        <row r="32">
          <cell r="B32" t="str">
            <v>15.</v>
          </cell>
          <cell r="C32" t="str">
            <v>Faktor Bucket</v>
          </cell>
          <cell r="D32" t="str">
            <v>=  Ah x 1 M3 x Fk</v>
          </cell>
          <cell r="E32" t="str">
            <v>E15</v>
          </cell>
          <cell r="F32">
            <v>105</v>
          </cell>
          <cell r="G32" t="str">
            <v>Fb</v>
          </cell>
          <cell r="H32">
            <v>0.9</v>
          </cell>
          <cell r="I32" t="str">
            <v>-</v>
          </cell>
          <cell r="J32">
            <v>5</v>
          </cell>
          <cell r="L32">
            <v>450000000</v>
          </cell>
          <cell r="M32">
            <v>45000000</v>
          </cell>
          <cell r="N32">
            <v>0.33439999999999998</v>
          </cell>
          <cell r="O32">
            <v>67716</v>
          </cell>
          <cell r="P32">
            <v>450</v>
          </cell>
          <cell r="Q32">
            <v>68166</v>
          </cell>
          <cell r="R32">
            <v>0.125</v>
          </cell>
          <cell r="S32">
            <v>0.01</v>
          </cell>
          <cell r="T32">
            <v>40687.5</v>
          </cell>
          <cell r="U32">
            <v>0</v>
          </cell>
          <cell r="V32">
            <v>0</v>
          </cell>
        </row>
        <row r="33">
          <cell r="B33" t="str">
            <v>16.</v>
          </cell>
          <cell r="C33" t="str">
            <v>Faktor  Efisiensi alat</v>
          </cell>
          <cell r="D33" t="str">
            <v>=  St x 1 M3 x Fk</v>
          </cell>
          <cell r="E33" t="str">
            <v>E16</v>
          </cell>
          <cell r="F33">
            <v>55</v>
          </cell>
          <cell r="G33" t="str">
            <v>Fa</v>
          </cell>
          <cell r="H33">
            <v>0.83</v>
          </cell>
          <cell r="I33" t="str">
            <v>-</v>
          </cell>
          <cell r="J33">
            <v>5</v>
          </cell>
          <cell r="L33">
            <v>200000000</v>
          </cell>
          <cell r="M33">
            <v>20000000</v>
          </cell>
          <cell r="N33">
            <v>0.33439999999999998</v>
          </cell>
          <cell r="O33">
            <v>30096</v>
          </cell>
          <cell r="P33">
            <v>200</v>
          </cell>
          <cell r="Q33">
            <v>30296</v>
          </cell>
          <cell r="R33">
            <v>0.125</v>
          </cell>
          <cell r="S33">
            <v>0.01</v>
          </cell>
          <cell r="T33">
            <v>21312.5</v>
          </cell>
          <cell r="U33">
            <v>0</v>
          </cell>
          <cell r="V33">
            <v>0</v>
          </cell>
        </row>
        <row r="34">
          <cell r="A34" t="str">
            <v xml:space="preserve">   2.</v>
          </cell>
          <cell r="B34" t="str">
            <v>17.</v>
          </cell>
          <cell r="C34" t="str">
            <v>ALAT</v>
          </cell>
          <cell r="D34" t="str">
            <v>TANDEM ROLLER 6-8 T.</v>
          </cell>
          <cell r="E34" t="str">
            <v>E17</v>
          </cell>
          <cell r="F34">
            <v>50</v>
          </cell>
          <cell r="G34">
            <v>8</v>
          </cell>
          <cell r="H34" t="str">
            <v>Ton</v>
          </cell>
          <cell r="I34">
            <v>200000000</v>
          </cell>
          <cell r="J34">
            <v>5</v>
          </cell>
          <cell r="L34">
            <v>200000000</v>
          </cell>
          <cell r="M34">
            <v>20000000</v>
          </cell>
          <cell r="N34">
            <v>0.33439999999999998</v>
          </cell>
          <cell r="O34">
            <v>30096</v>
          </cell>
          <cell r="P34">
            <v>200</v>
          </cell>
          <cell r="Q34">
            <v>30296</v>
          </cell>
          <cell r="R34">
            <v>0.125</v>
          </cell>
          <cell r="S34">
            <v>0.01</v>
          </cell>
          <cell r="T34">
            <v>19375</v>
          </cell>
          <cell r="U34">
            <v>0</v>
          </cell>
          <cell r="V34">
            <v>0</v>
          </cell>
        </row>
        <row r="35">
          <cell r="A35" t="str">
            <v xml:space="preserve">   2.a.</v>
          </cell>
          <cell r="B35" t="str">
            <v>18.</v>
          </cell>
          <cell r="C35" t="str">
            <v>Waktu siklus</v>
          </cell>
          <cell r="D35" t="str">
            <v>TIRE ROLLER 8-10 T.</v>
          </cell>
          <cell r="E35" t="str">
            <v>E18</v>
          </cell>
          <cell r="F35">
            <v>60</v>
          </cell>
          <cell r="G35" t="str">
            <v>Ts1</v>
          </cell>
          <cell r="H35" t="str">
            <v>Ton</v>
          </cell>
          <cell r="I35" t="str">
            <v>menit</v>
          </cell>
          <cell r="J35">
            <v>5</v>
          </cell>
          <cell r="L35">
            <v>225000000</v>
          </cell>
          <cell r="M35">
            <v>22500000</v>
          </cell>
          <cell r="N35">
            <v>0.33439999999999998</v>
          </cell>
          <cell r="O35">
            <v>37620</v>
          </cell>
          <cell r="P35">
            <v>250</v>
          </cell>
          <cell r="Q35" t="str">
            <v>JUMLAH HARGA BAHAN</v>
          </cell>
          <cell r="R35">
            <v>0.125</v>
          </cell>
          <cell r="S35">
            <v>0.01</v>
          </cell>
          <cell r="T35">
            <v>23250</v>
          </cell>
          <cell r="U35">
            <v>0</v>
          </cell>
          <cell r="V35">
            <v>0</v>
          </cell>
        </row>
        <row r="36">
          <cell r="B36" t="str">
            <v>19.</v>
          </cell>
          <cell r="C36" t="str">
            <v>- Menggali / memuat</v>
          </cell>
          <cell r="D36" t="str">
            <v>VIBRATORY ROLLER 5-8 T.</v>
          </cell>
          <cell r="E36" t="str">
            <v>E19</v>
          </cell>
          <cell r="F36">
            <v>75</v>
          </cell>
          <cell r="G36" t="str">
            <v>T1</v>
          </cell>
          <cell r="H36">
            <v>0.3</v>
          </cell>
          <cell r="I36" t="str">
            <v>menit</v>
          </cell>
          <cell r="J36">
            <v>4</v>
          </cell>
          <cell r="L36">
            <v>300000000</v>
          </cell>
          <cell r="M36">
            <v>30000000</v>
          </cell>
          <cell r="N36">
            <v>0.38629999999999998</v>
          </cell>
          <cell r="O36">
            <v>52150.5</v>
          </cell>
          <cell r="P36">
            <v>300</v>
          </cell>
          <cell r="Q36">
            <v>52450.5</v>
          </cell>
          <cell r="R36" t="str">
            <v xml:space="preserve">JUMLAH HARGA BAHAN   </v>
          </cell>
          <cell r="S36">
            <v>0.01</v>
          </cell>
          <cell r="T36">
            <v>29062.5</v>
          </cell>
          <cell r="U36">
            <v>0</v>
          </cell>
          <cell r="V36">
            <v>0</v>
          </cell>
        </row>
        <row r="37">
          <cell r="B37" t="str">
            <v>20.</v>
          </cell>
          <cell r="C37" t="str">
            <v>- Lain-lain</v>
          </cell>
          <cell r="D37" t="str">
            <v>CONCRETE VIBRATOR</v>
          </cell>
          <cell r="E37" t="str">
            <v>E20</v>
          </cell>
          <cell r="F37">
            <v>10</v>
          </cell>
          <cell r="G37" t="str">
            <v>T2</v>
          </cell>
          <cell r="H37">
            <v>0.3</v>
          </cell>
          <cell r="I37" t="str">
            <v>menit</v>
          </cell>
          <cell r="J37">
            <v>4</v>
          </cell>
          <cell r="L37" t="str">
            <v>C.</v>
          </cell>
          <cell r="M37">
            <v>2000000</v>
          </cell>
          <cell r="N37" t="str">
            <v>PERALATAN</v>
          </cell>
          <cell r="O37">
            <v>6953.4</v>
          </cell>
          <cell r="P37">
            <v>40</v>
          </cell>
          <cell r="Q37">
            <v>6993.4</v>
          </cell>
          <cell r="R37">
            <v>0.125</v>
          </cell>
          <cell r="S37">
            <v>0.01</v>
          </cell>
          <cell r="T37">
            <v>3875</v>
          </cell>
          <cell r="U37">
            <v>0</v>
          </cell>
          <cell r="V37">
            <v>0</v>
          </cell>
        </row>
        <row r="38">
          <cell r="B38" t="str">
            <v>21.</v>
          </cell>
          <cell r="C38" t="str">
            <v>Kecepatan rata-rata bermuatan</v>
          </cell>
          <cell r="D38" t="str">
            <v>STONE CRUSHER</v>
          </cell>
          <cell r="E38" t="str">
            <v>E21</v>
          </cell>
          <cell r="F38">
            <v>220</v>
          </cell>
          <cell r="G38" t="str">
            <v>Ts1</v>
          </cell>
          <cell r="H38">
            <v>0.6</v>
          </cell>
          <cell r="I38" t="str">
            <v>menit</v>
          </cell>
          <cell r="J38">
            <v>5</v>
          </cell>
          <cell r="L38" t="str">
            <v>C.</v>
          </cell>
          <cell r="M38">
            <v>140000000</v>
          </cell>
          <cell r="N38" t="str">
            <v>PERALATAN</v>
          </cell>
          <cell r="O38">
            <v>210672</v>
          </cell>
          <cell r="P38">
            <v>1400</v>
          </cell>
          <cell r="Q38">
            <v>212072</v>
          </cell>
          <cell r="R38">
            <v>0.125</v>
          </cell>
          <cell r="S38">
            <v>0.01</v>
          </cell>
          <cell r="T38">
            <v>85250</v>
          </cell>
          <cell r="U38">
            <v>0</v>
          </cell>
          <cell r="V38">
            <v>0</v>
          </cell>
        </row>
        <row r="39">
          <cell r="B39" t="str">
            <v>22.</v>
          </cell>
          <cell r="C39" t="str">
            <v>Kecepatan rata-rata kosong</v>
          </cell>
          <cell r="D39" t="str">
            <v>WATER PUMP 70-100 mm</v>
          </cell>
          <cell r="E39" t="str">
            <v>E22</v>
          </cell>
          <cell r="F39">
            <v>6</v>
          </cell>
          <cell r="G39" t="str">
            <v>v2</v>
          </cell>
          <cell r="H39">
            <v>50</v>
          </cell>
          <cell r="I39" t="str">
            <v>KM/jam</v>
          </cell>
          <cell r="J39">
            <v>2</v>
          </cell>
          <cell r="L39" t="str">
            <v>1.</v>
          </cell>
          <cell r="M39">
            <v>1000000</v>
          </cell>
          <cell r="N39" t="str">
            <v>Excavator</v>
          </cell>
          <cell r="O39" t="str">
            <v>(E10)</v>
          </cell>
          <cell r="P39" t="str">
            <v>Jam</v>
          </cell>
          <cell r="Q39">
            <v>3.2099999999999997E-2</v>
          </cell>
          <cell r="R39">
            <v>251051.43</v>
          </cell>
          <cell r="S39">
            <v>0.01</v>
          </cell>
          <cell r="T39">
            <v>2325</v>
          </cell>
          <cell r="U39">
            <v>8058.75</v>
          </cell>
          <cell r="V39">
            <v>0</v>
          </cell>
        </row>
        <row r="40">
          <cell r="B40" t="str">
            <v>23.</v>
          </cell>
          <cell r="C40" t="str">
            <v>Kap. Prod. / jam =</v>
          </cell>
          <cell r="D40" t="str">
            <v>V  x Fb x Fa x 60</v>
          </cell>
          <cell r="E40" t="str">
            <v>E23</v>
          </cell>
          <cell r="F40">
            <v>100</v>
          </cell>
          <cell r="G40" t="str">
            <v>Q1</v>
          </cell>
          <cell r="H40">
            <v>31.125</v>
          </cell>
          <cell r="I40" t="str">
            <v>M3/Jam</v>
          </cell>
          <cell r="J40">
            <v>5</v>
          </cell>
          <cell r="L40" t="str">
            <v>2.</v>
          </cell>
          <cell r="M40">
            <v>17500000</v>
          </cell>
          <cell r="N40" t="str">
            <v>Dump Truck</v>
          </cell>
          <cell r="O40" t="str">
            <v>(E08)</v>
          </cell>
          <cell r="P40" t="str">
            <v>Jam</v>
          </cell>
          <cell r="Q40">
            <v>6.4500000000000002E-2</v>
          </cell>
          <cell r="R40">
            <v>82267.929999999993</v>
          </cell>
          <cell r="S40">
            <v>0.01</v>
          </cell>
          <cell r="T40">
            <v>38750</v>
          </cell>
          <cell r="U40">
            <v>5306.28</v>
          </cell>
          <cell r="V40">
            <v>0</v>
          </cell>
        </row>
        <row r="41">
          <cell r="B41" t="str">
            <v>24.</v>
          </cell>
          <cell r="C41" t="str">
            <v>- Waktu tempuh isi           =  (L : v1) x 60 menit</v>
          </cell>
          <cell r="D41" t="str">
            <v>Ts1 x Fh</v>
          </cell>
          <cell r="E41" t="str">
            <v>E24</v>
          </cell>
          <cell r="F41">
            <v>11</v>
          </cell>
          <cell r="G41" t="str">
            <v>T1</v>
          </cell>
          <cell r="H41">
            <v>1.5</v>
          </cell>
          <cell r="I41" t="str">
            <v>menit</v>
          </cell>
          <cell r="J41">
            <v>4</v>
          </cell>
          <cell r="L41" t="str">
            <v>3.</v>
          </cell>
          <cell r="M41">
            <v>7500000</v>
          </cell>
          <cell r="N41" t="str">
            <v>Alat Bantu</v>
          </cell>
          <cell r="O41" t="str">
            <v>(E08)</v>
          </cell>
          <cell r="P41" t="str">
            <v>Ls</v>
          </cell>
          <cell r="Q41">
            <v>1</v>
          </cell>
          <cell r="R41">
            <v>750</v>
          </cell>
          <cell r="S41">
            <v>0.01</v>
          </cell>
          <cell r="T41">
            <v>4262.5</v>
          </cell>
          <cell r="U41">
            <v>750</v>
          </cell>
          <cell r="V41">
            <v>0</v>
          </cell>
        </row>
        <row r="42">
          <cell r="B42" t="str">
            <v>25.</v>
          </cell>
          <cell r="C42" t="str">
            <v>Koefisien Alat / M3</v>
          </cell>
          <cell r="D42" t="str">
            <v xml:space="preserve"> =  1  :  Q1</v>
          </cell>
          <cell r="E42" t="str">
            <v>E25</v>
          </cell>
          <cell r="F42">
            <v>5</v>
          </cell>
          <cell r="G42" t="str">
            <v>(E10)</v>
          </cell>
          <cell r="H42">
            <v>3.2099999999999997E-2</v>
          </cell>
          <cell r="I42" t="str">
            <v>Jam</v>
          </cell>
          <cell r="J42">
            <v>4</v>
          </cell>
          <cell r="L42" t="str">
            <v>3.</v>
          </cell>
          <cell r="M42">
            <v>2500000</v>
          </cell>
          <cell r="N42" t="str">
            <v>Alat Bantu</v>
          </cell>
          <cell r="O42">
            <v>8691.75</v>
          </cell>
          <cell r="P42" t="str">
            <v>Ls</v>
          </cell>
          <cell r="Q42">
            <v>1</v>
          </cell>
          <cell r="R42">
            <v>750</v>
          </cell>
          <cell r="S42">
            <v>0.01</v>
          </cell>
          <cell r="T42">
            <v>1937.5</v>
          </cell>
          <cell r="U42">
            <v>750</v>
          </cell>
          <cell r="V42">
            <v>0</v>
          </cell>
        </row>
        <row r="43">
          <cell r="B43" t="str">
            <v>26.</v>
          </cell>
          <cell r="C43" t="str">
            <v>Koefisien Alat / M3</v>
          </cell>
          <cell r="D43" t="str">
            <v xml:space="preserve"> =  1  :  Q1</v>
          </cell>
          <cell r="E43" t="str">
            <v>E26</v>
          </cell>
          <cell r="F43">
            <v>3</v>
          </cell>
          <cell r="G43" t="str">
            <v>-</v>
          </cell>
          <cell r="H43">
            <v>3.4799999999999998E-2</v>
          </cell>
          <cell r="I43" t="str">
            <v>Jam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#DIV/0!</v>
          </cell>
        </row>
        <row r="44">
          <cell r="A44" t="str">
            <v xml:space="preserve">   2.b.</v>
          </cell>
          <cell r="B44" t="str">
            <v>27.</v>
          </cell>
          <cell r="C44" t="str">
            <v>DUMP TRUCK</v>
          </cell>
          <cell r="D44" t="str">
            <v>FULVI MIXER</v>
          </cell>
          <cell r="E44" t="str">
            <v>E27</v>
          </cell>
          <cell r="F44">
            <v>75</v>
          </cell>
          <cell r="G44" t="str">
            <v>(E08)</v>
          </cell>
          <cell r="H44">
            <v>22.7</v>
          </cell>
          <cell r="I44" t="str">
            <v>menit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#DIV/0!</v>
          </cell>
        </row>
        <row r="45">
          <cell r="A45" t="str">
            <v xml:space="preserve">   2.b.</v>
          </cell>
          <cell r="B45" t="str">
            <v>28.</v>
          </cell>
          <cell r="C45" t="str">
            <v>Kapasitas bak</v>
          </cell>
          <cell r="D45" t="str">
            <v>CONCRETE PUMP</v>
          </cell>
          <cell r="E45" t="str">
            <v>E28</v>
          </cell>
          <cell r="F45">
            <v>100</v>
          </cell>
          <cell r="G45" t="str">
            <v>V</v>
          </cell>
          <cell r="H45">
            <v>4</v>
          </cell>
          <cell r="I45" t="str">
            <v>M3</v>
          </cell>
          <cell r="J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#DIV/0!</v>
          </cell>
        </row>
        <row r="46">
          <cell r="B46" t="str">
            <v>29.</v>
          </cell>
          <cell r="C46" t="str">
            <v>Faktor  efisiensi alat</v>
          </cell>
          <cell r="D46" t="str">
            <v>TRAILER 20 TON</v>
          </cell>
          <cell r="E46" t="str">
            <v>E29</v>
          </cell>
          <cell r="F46">
            <v>175</v>
          </cell>
          <cell r="G46" t="str">
            <v>Fa</v>
          </cell>
          <cell r="H46">
            <v>0.83</v>
          </cell>
          <cell r="I46" t="str">
            <v>-</v>
          </cell>
          <cell r="J46" t="str">
            <v>Berlanjut ke hal. berikut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#DIV/0!</v>
          </cell>
        </row>
        <row r="47">
          <cell r="B47" t="str">
            <v>30</v>
          </cell>
          <cell r="C47" t="str">
            <v>Kecepatan rata-rata bermuatan</v>
          </cell>
          <cell r="D47" t="str">
            <v>PILE DRIVER + HAMMER</v>
          </cell>
          <cell r="E47" t="str">
            <v>E30</v>
          </cell>
          <cell r="F47">
            <v>25</v>
          </cell>
          <cell r="G47" t="str">
            <v>v1</v>
          </cell>
          <cell r="H47">
            <v>40</v>
          </cell>
          <cell r="I47" t="str">
            <v>KM/Jam</v>
          </cell>
          <cell r="J47">
            <v>5</v>
          </cell>
          <cell r="L47">
            <v>280000000</v>
          </cell>
          <cell r="M47">
            <v>28000000</v>
          </cell>
          <cell r="N47">
            <v>0.33439999999999998</v>
          </cell>
          <cell r="O47">
            <v>42134.400000000001</v>
          </cell>
          <cell r="P47">
            <v>280</v>
          </cell>
          <cell r="Q47" t="str">
            <v>JUMLAH HARGA PERALATAN</v>
          </cell>
          <cell r="R47" t="str">
            <v xml:space="preserve">JUMLAH HARGA PERALATAN   </v>
          </cell>
          <cell r="S47">
            <v>0.01</v>
          </cell>
          <cell r="T47">
            <v>9687.5</v>
          </cell>
          <cell r="U47">
            <v>14115.029999999999</v>
          </cell>
          <cell r="V47">
            <v>0</v>
          </cell>
        </row>
        <row r="48">
          <cell r="B48" t="str">
            <v>31.</v>
          </cell>
          <cell r="C48" t="str">
            <v>Kecepatan rata-rata kosong</v>
          </cell>
          <cell r="D48" t="str">
            <v>CRANE ON TRACK 35 TON</v>
          </cell>
          <cell r="E48" t="str">
            <v>E31</v>
          </cell>
          <cell r="F48">
            <v>125</v>
          </cell>
          <cell r="G48" t="str">
            <v>v2</v>
          </cell>
          <cell r="H48">
            <v>60</v>
          </cell>
          <cell r="I48" t="str">
            <v>KM/Jam</v>
          </cell>
          <cell r="J48">
            <v>6</v>
          </cell>
          <cell r="L48" t="str">
            <v>D.</v>
          </cell>
          <cell r="M48">
            <v>98000000</v>
          </cell>
          <cell r="N48" t="str">
            <v>JUMLAH HARGA TENAGA, BAHAN DAN PERALATAN  ( A + B + C )</v>
          </cell>
          <cell r="O48">
            <v>132608.70000000001</v>
          </cell>
          <cell r="P48">
            <v>980</v>
          </cell>
          <cell r="Q48">
            <v>133588.70000000001</v>
          </cell>
          <cell r="R48">
            <v>0.125</v>
          </cell>
          <cell r="S48">
            <v>0.01</v>
          </cell>
          <cell r="T48">
            <v>48437.5</v>
          </cell>
          <cell r="U48">
            <v>14390.419999999998</v>
          </cell>
          <cell r="V48">
            <v>0</v>
          </cell>
        </row>
        <row r="49">
          <cell r="C49" t="str">
            <v>Waktu  siklus</v>
          </cell>
          <cell r="G49" t="str">
            <v>Ts2</v>
          </cell>
          <cell r="H49">
            <v>60</v>
          </cell>
          <cell r="I49" t="str">
            <v>menit</v>
          </cell>
          <cell r="L49" t="str">
            <v>E.</v>
          </cell>
          <cell r="N49" t="str">
            <v>OVERHEAD &amp; PROFIT</v>
          </cell>
          <cell r="P49">
            <v>10</v>
          </cell>
          <cell r="Q49" t="str">
            <v>%  x  D</v>
          </cell>
          <cell r="U49">
            <v>1439.04</v>
          </cell>
        </row>
        <row r="50">
          <cell r="C50" t="str">
            <v>- Waktu tempuh isi</v>
          </cell>
          <cell r="E50" t="str">
            <v>=   (L  :  v1)  x  60</v>
          </cell>
          <cell r="G50" t="str">
            <v>T1</v>
          </cell>
          <cell r="H50">
            <v>1.5</v>
          </cell>
          <cell r="I50" t="str">
            <v>menit</v>
          </cell>
          <cell r="L50" t="str">
            <v>F.</v>
          </cell>
          <cell r="N50" t="str">
            <v>HARGA SATUAN PEKERJAAN  ( D + E )</v>
          </cell>
          <cell r="U50">
            <v>15829.46</v>
          </cell>
        </row>
        <row r="51">
          <cell r="C51" t="str">
            <v>- Waktu tempuh kosong</v>
          </cell>
          <cell r="E51" t="str">
            <v>=   (L  :  v2)  x  60</v>
          </cell>
          <cell r="G51" t="str">
            <v>T2</v>
          </cell>
          <cell r="H51">
            <v>1</v>
          </cell>
          <cell r="I51" t="str">
            <v>menit</v>
          </cell>
          <cell r="L51" t="str">
            <v>Note: 1</v>
          </cell>
          <cell r="N51" t="str">
            <v>SATUAN dapat berdasarkan atas jam operasi untuk Tenaga Kerja dan Peralatan, volume dan/atau ukuran berat untuk bahan-bahan</v>
          </cell>
        </row>
        <row r="52">
          <cell r="C52" t="str">
            <v>- Muat</v>
          </cell>
          <cell r="D52" t="str">
            <v xml:space="preserve">KETERANGAN  : </v>
          </cell>
          <cell r="E52" t="str">
            <v>=   (V  :  Q1) x 60</v>
          </cell>
          <cell r="F52" t="str">
            <v>Tingkat Suku Bunga</v>
          </cell>
          <cell r="G52" t="str">
            <v>T3</v>
          </cell>
          <cell r="H52">
            <v>7.7107999999999999</v>
          </cell>
          <cell r="I52" t="str">
            <v>menit</v>
          </cell>
          <cell r="L52">
            <v>2</v>
          </cell>
          <cell r="M52" t="str">
            <v>%  per-tahun</v>
          </cell>
          <cell r="N52" t="str">
            <v>Kuantitas satuan adalah kuantitas setiap komponen untuk menyelesaikan satu satuan pekerjaan dari nomor mata pembayaran</v>
          </cell>
        </row>
        <row r="53">
          <cell r="C53" t="str">
            <v>- Lain-lain</v>
          </cell>
          <cell r="E53" t="str">
            <v>=   (V  :  Q1) x 60</v>
          </cell>
          <cell r="F53" t="str">
            <v>Upah Operator / Sopir / Mekanik</v>
          </cell>
          <cell r="G53" t="str">
            <v>T4</v>
          </cell>
          <cell r="H53">
            <v>0.5</v>
          </cell>
          <cell r="I53" t="str">
            <v>menit</v>
          </cell>
          <cell r="L53">
            <v>3</v>
          </cell>
          <cell r="M53" t="str">
            <v>Rupiah per-orang/jam</v>
          </cell>
          <cell r="N53" t="str">
            <v>Biaya satuan untuk peralatan sudah termasuk bahan bakar, bahan habis dipakai dan operator.</v>
          </cell>
        </row>
        <row r="54">
          <cell r="C54" t="str">
            <v>- Lain-lain</v>
          </cell>
          <cell r="E54" t="str">
            <v>3.</v>
          </cell>
          <cell r="F54" t="str">
            <v>Upah Pembantu Operator/Sopir/Mekanik</v>
          </cell>
          <cell r="G54" t="str">
            <v>Ts2</v>
          </cell>
          <cell r="H54">
            <v>10.710799999999999</v>
          </cell>
          <cell r="I54" t="str">
            <v>menit</v>
          </cell>
          <cell r="L54">
            <v>4</v>
          </cell>
          <cell r="M54" t="str">
            <v>Rupiah per-orang/jam</v>
          </cell>
          <cell r="N54" t="str">
            <v>Biaya satuan sudah termasuk pengeluaran untuk seluruh pajak yang berkaitan (tetapi tidak termasuk PPN yang dibayar dari kontrak )</v>
          </cell>
        </row>
        <row r="55">
          <cell r="E55" t="str">
            <v>4.</v>
          </cell>
          <cell r="F55" t="str">
            <v>Harga Bahan Bakar Bensin</v>
          </cell>
          <cell r="G55" t="str">
            <v>Ts2</v>
          </cell>
          <cell r="H55">
            <v>11.353400000000001</v>
          </cell>
          <cell r="I55" t="str">
            <v>menit</v>
          </cell>
          <cell r="J55" t="str">
            <v>Berlanjut ke halaman berikut</v>
          </cell>
          <cell r="L55">
            <v>4</v>
          </cell>
          <cell r="M55" t="str">
            <v>Rupiah per-liter</v>
          </cell>
          <cell r="N55" t="str">
            <v>dan biaya-biaya lainnya.</v>
          </cell>
        </row>
        <row r="56">
          <cell r="A56" t="str">
            <v>ITEM PEMBAYARAN NO.</v>
          </cell>
          <cell r="D56" t="str">
            <v>:  3.1 (1)</v>
          </cell>
          <cell r="E56" t="str">
            <v>5.</v>
          </cell>
          <cell r="F56" t="str">
            <v>Harga Bahan Bakar Solar</v>
          </cell>
          <cell r="J56" t="str">
            <v>Analisa EI-311</v>
          </cell>
          <cell r="L56">
            <v>1700</v>
          </cell>
          <cell r="M56" t="str">
            <v>Rupiah per-liter</v>
          </cell>
          <cell r="N56" t="str">
            <v>dan biaya-biaya lainnya.</v>
          </cell>
          <cell r="T56" t="str">
            <v>Analisa EI-314</v>
          </cell>
        </row>
        <row r="57">
          <cell r="A57" t="str">
            <v>JENIS PEKERJAAN</v>
          </cell>
          <cell r="D57" t="str">
            <v>:  Galian Biasa</v>
          </cell>
          <cell r="E57" t="str">
            <v>6.</v>
          </cell>
          <cell r="F57" t="str">
            <v>Minyak Pelumas</v>
          </cell>
          <cell r="J57" t="str">
            <v xml:space="preserve">Analisa EI-21 </v>
          </cell>
          <cell r="L57">
            <v>17500</v>
          </cell>
          <cell r="M57" t="str">
            <v>Rupiah per-liter</v>
          </cell>
          <cell r="T57" t="str">
            <v xml:space="preserve">Analisa LI-22 </v>
          </cell>
        </row>
        <row r="58">
          <cell r="A58" t="str">
            <v>SATUAN PEMBAYARAN</v>
          </cell>
          <cell r="D58" t="str">
            <v>:  M3</v>
          </cell>
          <cell r="E58" t="str">
            <v>7.</v>
          </cell>
          <cell r="F58" t="str">
            <v>Pajak Pertambahan Nilai (PPN) diperhitungkan pada Lembar Rekapitulasi Biaya Pekerjaan</v>
          </cell>
          <cell r="H58" t="str">
            <v xml:space="preserve">         URAIAN ANALISA HARGA SATUAN</v>
          </cell>
          <cell r="L58" t="str">
            <v>FORMULIR STANDAR UNTUK</v>
          </cell>
        </row>
        <row r="59">
          <cell r="A59" t="str">
            <v>SATUAN PEMBAYARAN</v>
          </cell>
          <cell r="D59" t="str">
            <v>:  M3</v>
          </cell>
          <cell r="E59" t="str">
            <v>8.</v>
          </cell>
          <cell r="F59" t="str">
            <v>Khusus AMP, biaya bahan bakar ditambah (untuk pemanasan material) sebesar : 12 Liter x (Kapasitas AMP Riil = 0.7 x Kapasitas AMP/Jam) x Harga BBM Solar ,  (kolom 16)</v>
          </cell>
          <cell r="H59" t="str">
            <v xml:space="preserve">         URAIAN ANALISA HARGA SATUAN</v>
          </cell>
          <cell r="J59" t="str">
            <v>Lanjutan</v>
          </cell>
          <cell r="L59" t="str">
            <v>PEREKAMAN ANALISA MASING-MASING HARGA SATUAN</v>
          </cell>
        </row>
        <row r="60">
          <cell r="J60" t="str">
            <v>Lanjutan</v>
          </cell>
          <cell r="L60" t="str">
            <v>PEREKAMAN ANALISA MASING-MASING HARGA SATUAN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  <cell r="L61" t="str">
            <v>PROYEK</v>
          </cell>
          <cell r="O61" t="str">
            <v>:  Peningkatan Jalan dan Jembatan Wilayah Barat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L62" t="str">
            <v>No. PAKET KONTRAK</v>
          </cell>
          <cell r="O62" t="str">
            <v xml:space="preserve">: </v>
          </cell>
        </row>
        <row r="63">
          <cell r="L63" t="str">
            <v>NAMA PAKET</v>
          </cell>
          <cell r="O63" t="str">
            <v>:  Pembangunan Jembatan Beton Tersebar di Wilayah Barat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  <cell r="L64" t="str">
            <v>KABUPATEN</v>
          </cell>
          <cell r="O64" t="str">
            <v>:  Lampung Timur</v>
          </cell>
        </row>
        <row r="65">
          <cell r="C65" t="str">
            <v>Kapasitas Produksi / Jam   =</v>
          </cell>
          <cell r="D65" t="str">
            <v>V x Fa x 60</v>
          </cell>
          <cell r="E65" t="str">
            <v xml:space="preserve">    Fk x Ts2</v>
          </cell>
          <cell r="G65" t="str">
            <v>Q2</v>
          </cell>
          <cell r="H65">
            <v>14.6212</v>
          </cell>
          <cell r="I65" t="str">
            <v xml:space="preserve">M3 / Jam </v>
          </cell>
          <cell r="L65" t="str">
            <v>ITEM PEMBAYARAN NO.</v>
          </cell>
          <cell r="O65" t="str">
            <v>:  3.1 (4)</v>
          </cell>
        </row>
        <row r="66">
          <cell r="D66" t="str">
            <v>Fk x Ts2</v>
          </cell>
          <cell r="E66" t="str">
            <v xml:space="preserve">    Fk x Ts2</v>
          </cell>
          <cell r="L66" t="str">
            <v>JENIS PEKERJAAN</v>
          </cell>
          <cell r="O66" t="str">
            <v>:  Galian Struktur Kedalaman 0-2 M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L67" t="str">
            <v>SATUAN PEMBAYARAN</v>
          </cell>
          <cell r="O67" t="str">
            <v>:  M3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Pasangan Batu Dengan Mortar</v>
          </cell>
        </row>
        <row r="69">
          <cell r="C69" t="str">
            <v>Koefisien Alat / M3</v>
          </cell>
          <cell r="D69" t="str">
            <v xml:space="preserve"> =  1  :  Q2</v>
          </cell>
          <cell r="G69" t="str">
            <v>-</v>
          </cell>
          <cell r="H69">
            <v>6.8400000000000002E-2</v>
          </cell>
          <cell r="I69" t="str">
            <v>Jam</v>
          </cell>
          <cell r="L69" t="str">
            <v>SATUAN PEMBAYARAN</v>
          </cell>
          <cell r="O69" t="str">
            <v>:  M3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  <cell r="Q70" t="str">
            <v>PERKIRAAN</v>
          </cell>
          <cell r="R70" t="str">
            <v>HARGA SATUAN</v>
          </cell>
          <cell r="S70" t="str">
            <v>JUMLAH HARGA</v>
          </cell>
        </row>
        <row r="71">
          <cell r="A71" t="str">
            <v>2.c.</v>
          </cell>
          <cell r="C71" t="str">
            <v>ALAT  BANTU</v>
          </cell>
          <cell r="G71" t="str">
            <v>v</v>
          </cell>
          <cell r="H71">
            <v>2</v>
          </cell>
          <cell r="I71" t="str">
            <v>KM/jam</v>
          </cell>
          <cell r="L71" t="str">
            <v>NO.</v>
          </cell>
          <cell r="N71" t="str">
            <v>KOMPONEN</v>
          </cell>
          <cell r="P71" t="str">
            <v>SATUAN</v>
          </cell>
          <cell r="Q71" t="str">
            <v>KUANTITAS</v>
          </cell>
          <cell r="R71" t="str">
            <v>(Rp.)</v>
          </cell>
          <cell r="S71" t="str">
            <v>(Rp.)</v>
          </cell>
        </row>
        <row r="72">
          <cell r="A72" t="str">
            <v>2.d.</v>
          </cell>
          <cell r="C72" t="str">
            <v>Diperlukan alat-alat bantu kecil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C73" t="str">
            <v>- Sekop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  <cell r="L73" t="str">
            <v>NO.</v>
          </cell>
          <cell r="N73" t="str">
            <v>KOMPONEN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C74" t="str">
            <v>- Keranjang</v>
          </cell>
          <cell r="G74" t="str">
            <v>Fa</v>
          </cell>
          <cell r="H74">
            <v>0.83</v>
          </cell>
          <cell r="I74" t="str">
            <v>-</v>
          </cell>
          <cell r="L74" t="str">
            <v>A.</v>
          </cell>
          <cell r="N74" t="str">
            <v>TENAGA</v>
          </cell>
          <cell r="R74" t="str">
            <v>(Rp.)</v>
          </cell>
          <cell r="S74" t="str">
            <v>(Rp.)</v>
          </cell>
        </row>
        <row r="75">
          <cell r="C75" t="str">
            <v>- Keranjang + Sapu</v>
          </cell>
        </row>
        <row r="76">
          <cell r="A76" t="str">
            <v xml:space="preserve">   3.</v>
          </cell>
          <cell r="C76" t="str">
            <v>TENAGA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  <cell r="L76" t="str">
            <v>1.</v>
          </cell>
          <cell r="N76" t="str">
            <v>Pekerja</v>
          </cell>
          <cell r="O76" t="str">
            <v>(L01)</v>
          </cell>
          <cell r="P76" t="str">
            <v>Jam</v>
          </cell>
          <cell r="Q76">
            <v>9.4500000000000001E-2</v>
          </cell>
          <cell r="R76">
            <v>2500</v>
          </cell>
          <cell r="U76">
            <v>236.25</v>
          </cell>
        </row>
        <row r="77">
          <cell r="A77" t="str">
            <v xml:space="preserve">   3.</v>
          </cell>
          <cell r="C77" t="str">
            <v>Produksi menentukan : EXCAVATOR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  <cell r="L77" t="str">
            <v>2.</v>
          </cell>
          <cell r="N77" t="str">
            <v>Mandor</v>
          </cell>
          <cell r="O77" t="str">
            <v>(L03)</v>
          </cell>
          <cell r="P77" t="str">
            <v>Jam</v>
          </cell>
          <cell r="Q77">
            <v>4.7199999999999999E-2</v>
          </cell>
          <cell r="R77">
            <v>3571.43</v>
          </cell>
          <cell r="U77">
            <v>168.57</v>
          </cell>
        </row>
        <row r="78">
          <cell r="C78" t="str">
            <v>Produksi Galian / hari  =  Tk x Q1</v>
          </cell>
          <cell r="D78" t="str">
            <v xml:space="preserve"> =  1  :  Q2</v>
          </cell>
          <cell r="G78" t="str">
            <v>Qt</v>
          </cell>
          <cell r="H78">
            <v>217.875</v>
          </cell>
          <cell r="I78" t="str">
            <v>M3</v>
          </cell>
        </row>
        <row r="79">
          <cell r="C79" t="str">
            <v>Kebutuhan tenaga :</v>
          </cell>
          <cell r="G79" t="str">
            <v>Qt</v>
          </cell>
          <cell r="H79">
            <v>201.1156</v>
          </cell>
          <cell r="I79" t="str">
            <v>M3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17.5</v>
          </cell>
          <cell r="R79">
            <v>2500</v>
          </cell>
          <cell r="U79">
            <v>43750</v>
          </cell>
        </row>
        <row r="80">
          <cell r="A80" t="str">
            <v xml:space="preserve">   2.c.</v>
          </cell>
          <cell r="C80" t="str">
            <v>Kebutuhan tenaga :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  <cell r="L80" t="str">
            <v>2.</v>
          </cell>
          <cell r="N80" t="str">
            <v>Tukang</v>
          </cell>
          <cell r="O80" t="str">
            <v>(L02)</v>
          </cell>
          <cell r="P80" t="str">
            <v>jam</v>
          </cell>
          <cell r="Q80" t="str">
            <v xml:space="preserve">JUMLAH HARGA TENAGA   </v>
          </cell>
          <cell r="R80">
            <v>3214.29</v>
          </cell>
          <cell r="U80">
            <v>404.82</v>
          </cell>
        </row>
        <row r="81">
          <cell r="C81" t="str">
            <v>Diperlukan   :</v>
          </cell>
          <cell r="D81" t="str">
            <v>- Mandor</v>
          </cell>
          <cell r="G81" t="str">
            <v>M</v>
          </cell>
          <cell r="H81">
            <v>1</v>
          </cell>
          <cell r="I81" t="str">
            <v>orang</v>
          </cell>
          <cell r="L81" t="str">
            <v>3.</v>
          </cell>
          <cell r="N81" t="str">
            <v>Mandor</v>
          </cell>
          <cell r="O81" t="str">
            <v>(L03)</v>
          </cell>
          <cell r="P81" t="str">
            <v>jam</v>
          </cell>
          <cell r="Q81">
            <v>1.75</v>
          </cell>
          <cell r="R81">
            <v>3571.43</v>
          </cell>
          <cell r="U81">
            <v>6250</v>
          </cell>
        </row>
        <row r="82">
          <cell r="C82" t="str">
            <v>- Kereta dorong</v>
          </cell>
          <cell r="D82" t="str">
            <v>- Mandor</v>
          </cell>
          <cell r="G82" t="str">
            <v>M</v>
          </cell>
          <cell r="H82">
            <v>1</v>
          </cell>
          <cell r="I82" t="str">
            <v>orang</v>
          </cell>
          <cell r="L82" t="str">
            <v>B.</v>
          </cell>
          <cell r="N82" t="str">
            <v>BAHAN</v>
          </cell>
        </row>
        <row r="83">
          <cell r="C83" t="str">
            <v>Koefisien tenaga / M3   :</v>
          </cell>
          <cell r="D83" t="str">
            <v>=  3  buah.</v>
          </cell>
          <cell r="Q83" t="str">
            <v xml:space="preserve">JUMLAH HARGA TENAGA   </v>
          </cell>
          <cell r="U83">
            <v>61250.020000000004</v>
          </cell>
        </row>
        <row r="84">
          <cell r="C84" t="str">
            <v>Koefisien tenaga / M3   :</v>
          </cell>
          <cell r="D84" t="str">
            <v>- Pekerja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  <cell r="L84" t="str">
            <v>1.</v>
          </cell>
        </row>
        <row r="85">
          <cell r="D85" t="str">
            <v>- Mandor</v>
          </cell>
          <cell r="E85" t="str">
            <v>= (Tk x M) : Qt</v>
          </cell>
          <cell r="G85" t="str">
            <v>(L03)</v>
          </cell>
          <cell r="H85">
            <v>3.2099999999999997E-2</v>
          </cell>
          <cell r="I85" t="str">
            <v>Jam</v>
          </cell>
          <cell r="L85" t="str">
            <v>B.</v>
          </cell>
          <cell r="N85" t="str">
            <v>BAHAN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HARGA DASAR SATUAN UPAH, BAHAN DAN ALAT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Batu</v>
          </cell>
          <cell r="O87" t="str">
            <v>(M06)</v>
          </cell>
          <cell r="P87" t="str">
            <v>M3</v>
          </cell>
          <cell r="Q87">
            <v>1.08</v>
          </cell>
          <cell r="R87">
            <v>54300</v>
          </cell>
          <cell r="U87">
            <v>58644</v>
          </cell>
        </row>
        <row r="88">
          <cell r="A88" t="str">
            <v>4.</v>
          </cell>
          <cell r="C88" t="str">
            <v>Lihat lampiran.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Semen (PC)</v>
          </cell>
          <cell r="O88" t="str">
            <v>(M12)</v>
          </cell>
          <cell r="P88" t="str">
            <v>Kg</v>
          </cell>
          <cell r="Q88">
            <v>201.6</v>
          </cell>
          <cell r="R88">
            <v>600</v>
          </cell>
          <cell r="U88">
            <v>120960</v>
          </cell>
        </row>
        <row r="89">
          <cell r="C89" t="str">
            <v>Lihat lampiran.</v>
          </cell>
          <cell r="L89" t="str">
            <v>3.</v>
          </cell>
          <cell r="N89" t="str">
            <v>Pasir</v>
          </cell>
          <cell r="O89" t="str">
            <v>(M01)</v>
          </cell>
          <cell r="P89" t="str">
            <v>M3</v>
          </cell>
          <cell r="Q89">
            <v>0.45269999999999999</v>
          </cell>
          <cell r="R89">
            <v>48500</v>
          </cell>
          <cell r="U89">
            <v>21955.95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  <cell r="Q90" t="str">
            <v xml:space="preserve">JUMLAH HARGA BAHAN   </v>
          </cell>
          <cell r="U90">
            <v>0</v>
          </cell>
        </row>
        <row r="91">
          <cell r="A91" t="str">
            <v>5.</v>
          </cell>
          <cell r="C91" t="str">
            <v>Lihat perhitungan dalam FORMULIR STANDAR UNTUK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PEREKEMAN ANALISA MASING-MASING HARGA</v>
          </cell>
          <cell r="L92" t="str">
            <v>C.</v>
          </cell>
          <cell r="N92" t="str">
            <v>PERALATAN</v>
          </cell>
        </row>
        <row r="93">
          <cell r="C93" t="str">
            <v>SATUAN.</v>
          </cell>
          <cell r="L93" t="str">
            <v>1.</v>
          </cell>
          <cell r="N93" t="str">
            <v>Excavator</v>
          </cell>
          <cell r="O93" t="str">
            <v>(E10)</v>
          </cell>
          <cell r="P93" t="str">
            <v>Jam</v>
          </cell>
          <cell r="Q93">
            <v>4.7199999999999999E-2</v>
          </cell>
          <cell r="R93">
            <v>251051.43</v>
          </cell>
          <cell r="U93">
            <v>11849.63</v>
          </cell>
        </row>
        <row r="94">
          <cell r="C94" t="str">
            <v>Didapat Harga Satuan Pekerjaan :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L94" t="str">
            <v>2.</v>
          </cell>
          <cell r="N94" t="str">
            <v>Bulldozer</v>
          </cell>
          <cell r="O94" t="str">
            <v>(E04)</v>
          </cell>
          <cell r="P94" t="str">
            <v>Jam</v>
          </cell>
          <cell r="Q94">
            <v>1.7500000000000002E-2</v>
          </cell>
          <cell r="R94">
            <v>178010.43</v>
          </cell>
          <cell r="U94">
            <v>3115.18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Alat  bantu</v>
          </cell>
          <cell r="P95" t="str">
            <v>Ls</v>
          </cell>
          <cell r="Q95">
            <v>1</v>
          </cell>
          <cell r="R95">
            <v>750</v>
          </cell>
          <cell r="U95">
            <v>750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  <cell r="L96" t="str">
            <v>C.</v>
          </cell>
          <cell r="N96" t="str">
            <v>PERALATAN</v>
          </cell>
        </row>
        <row r="97">
          <cell r="A97" t="str">
            <v>4.</v>
          </cell>
          <cell r="C97" t="str">
            <v xml:space="preserve">Rp.  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  <cell r="L98" t="str">
            <v>1.</v>
          </cell>
          <cell r="N98" t="str">
            <v>Alat Bantu</v>
          </cell>
          <cell r="P98" t="str">
            <v>Ls</v>
          </cell>
          <cell r="Q98">
            <v>1</v>
          </cell>
          <cell r="R98">
            <v>2500</v>
          </cell>
          <cell r="U98">
            <v>2500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Q101" t="str">
            <v xml:space="preserve">JUMLAH HARGA PERALATAN   </v>
          </cell>
          <cell r="U101">
            <v>15714.81</v>
          </cell>
        </row>
        <row r="102">
          <cell r="C102" t="str">
            <v>PEREKAMAN ANALISA MASING-MASING HARGA</v>
          </cell>
          <cell r="L102" t="str">
            <v>D.</v>
          </cell>
          <cell r="N102" t="str">
            <v>JUMLAH HARGA TENAGA, BAHAN DAN PERALATAN  ( A + B + C )</v>
          </cell>
          <cell r="U102">
            <v>16119.63</v>
          </cell>
        </row>
        <row r="103">
          <cell r="C103" t="str">
            <v>SATUAN.</v>
          </cell>
          <cell r="L103" t="str">
            <v>E.</v>
          </cell>
          <cell r="N103" t="str">
            <v>OVERHEAD &amp; PROFIT</v>
          </cell>
          <cell r="P103">
            <v>10</v>
          </cell>
          <cell r="Q103" t="str">
            <v>%  x  D</v>
          </cell>
          <cell r="U103">
            <v>1611.96</v>
          </cell>
        </row>
        <row r="104">
          <cell r="C104" t="str">
            <v>Didapat Harga Satuan Pekerjaan :</v>
          </cell>
          <cell r="L104" t="str">
            <v>F.</v>
          </cell>
          <cell r="N104" t="str">
            <v>HARGA SATUAN PEKERJAAN  ( D + E )</v>
          </cell>
          <cell r="Q104" t="str">
            <v xml:space="preserve">JUMLAH HARGA PERALATAN   </v>
          </cell>
          <cell r="U104">
            <v>17731.59</v>
          </cell>
        </row>
        <row r="105">
          <cell r="L105" t="str">
            <v>Note: 1</v>
          </cell>
          <cell r="N105" t="str">
            <v>SATUAN dapat berdasarkan atas jam operasi untuk Tenaga Kerja dan Peralatan, volume dan/atau ukuran berat untuk bahan-bahan</v>
          </cell>
          <cell r="U105">
            <v>265309.97000000003</v>
          </cell>
        </row>
        <row r="106">
          <cell r="L106">
            <v>2</v>
          </cell>
          <cell r="N106" t="str">
            <v>Kuantitas satuan adalah kuantitas setiap komponen untuk menyelesaikan satu satuan pekerjaan dari nomor mata pembayaran</v>
          </cell>
          <cell r="P106">
            <v>10</v>
          </cell>
          <cell r="Q106" t="str">
            <v>%  x  D</v>
          </cell>
          <cell r="U106">
            <v>26531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>
            <v>3</v>
          </cell>
          <cell r="N107" t="str">
            <v>Biaya satuan untuk peralatan sudah termasuk bahan bakar, bahan habis dipakai dan operator.</v>
          </cell>
          <cell r="U107">
            <v>291840.97000000003</v>
          </cell>
        </row>
        <row r="108">
          <cell r="L108">
            <v>4</v>
          </cell>
          <cell r="N108" t="str">
            <v>Biaya satuan sudah termasuk pengeluaran untuk seluruh pajak yang berkaitan (tetapi tidak termasuk PPN yang dibayar dari kontrak )</v>
          </cell>
        </row>
        <row r="109">
          <cell r="L109" t="str">
            <v>Note: 1</v>
          </cell>
          <cell r="N109" t="str">
            <v>dan biaya-biaya lainnya.</v>
          </cell>
        </row>
        <row r="110">
          <cell r="L110">
            <v>2</v>
          </cell>
          <cell r="N110" t="str">
            <v>Kuantitas satuan adalah kuantitas setiap komponen untuk menyelesaikan satu satuan pekerjaan dari nomor mata pembayaran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3</v>
          </cell>
          <cell r="N111" t="str">
            <v>Biaya satuan untuk peralatan sudah termasuk bahan bakar, bahan habis dipakai dan operator.</v>
          </cell>
          <cell r="T111" t="str">
            <v>Analisa EI-315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4</v>
          </cell>
          <cell r="N112" t="str">
            <v>Biaya satuan sudah termasuk pengeluaran untuk seluruh pajak yang berkaitan (tetapi tidak termasuk PPN yang dibayar dari kontrak )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 t="str">
            <v>FORMULIR STANDAR UNTUK</v>
          </cell>
          <cell r="N113" t="str">
            <v>dan biaya-biaya lainnya.</v>
          </cell>
        </row>
        <row r="115">
          <cell r="A115" t="str">
            <v>ITEM PEMBAYARAN NO.</v>
          </cell>
          <cell r="D115" t="str">
            <v>:  2.2</v>
          </cell>
          <cell r="J115" t="str">
            <v xml:space="preserve">Analisa LI-22 </v>
          </cell>
        </row>
        <row r="116">
          <cell r="A116" t="str">
            <v>No.</v>
          </cell>
          <cell r="C116" t="str">
            <v>U R A I A N</v>
          </cell>
          <cell r="D116" t="str">
            <v>:  Pasangan Batu Dengan Mortar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KETERANGAN</v>
          </cell>
        </row>
        <row r="117">
          <cell r="A117" t="str">
            <v>SATUAN PEMBAYARAN</v>
          </cell>
          <cell r="D117" t="str">
            <v>:  M3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>
            <v>1</v>
          </cell>
          <cell r="C120" t="str">
            <v>Pekerjaan dilakukan secara manual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>
            <v>2</v>
          </cell>
          <cell r="C121" t="str">
            <v>Lokasi pekerjaan : sekitar jembatan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>
            <v>4</v>
          </cell>
          <cell r="C123" t="str">
            <v>Jam kerja efektif per-hari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>
            <v>5</v>
          </cell>
          <cell r="C124" t="str">
            <v>Faktor pengembangan bahan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6</v>
          </cell>
          <cell r="C125" t="str">
            <v>Pengurugan kembali (backfill) untuk struktur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3</v>
          </cell>
          <cell r="C126" t="str">
            <v>Bahan dasar (batu, pasir dan semen) diterima dilokasi pekerjaan</v>
          </cell>
        </row>
        <row r="127">
          <cell r="A127" t="str">
            <v>II.</v>
          </cell>
          <cell r="C127" t="str">
            <v>METHODE PELAKSANAAN</v>
          </cell>
          <cell r="G127" t="str">
            <v>L</v>
          </cell>
          <cell r="H127">
            <v>1</v>
          </cell>
          <cell r="I127" t="str">
            <v>KM</v>
          </cell>
        </row>
        <row r="128">
          <cell r="A128">
            <v>1</v>
          </cell>
          <cell r="C128" t="str">
            <v>Tanah yang dipotong berada disekitar lokasi</v>
          </cell>
          <cell r="G128" t="str">
            <v>Tk</v>
          </cell>
          <cell r="H128">
            <v>7</v>
          </cell>
          <cell r="I128" t="str">
            <v>jam</v>
          </cell>
        </row>
        <row r="129">
          <cell r="A129">
            <v>2</v>
          </cell>
          <cell r="C129" t="str">
            <v>Penggalian dilakukan dengan menggunakan alat Excavator</v>
          </cell>
          <cell r="E129" t="str">
            <v>: - Volume Semen</v>
          </cell>
          <cell r="G129" t="str">
            <v>Sm</v>
          </cell>
          <cell r="H129">
            <v>25</v>
          </cell>
          <cell r="I129" t="str">
            <v>%</v>
          </cell>
        </row>
        <row r="130">
          <cell r="A130">
            <v>3</v>
          </cell>
          <cell r="C130" t="str">
            <v>Bulldozer mengangkut/mengusur hasil galian ke tempat</v>
          </cell>
          <cell r="E130" t="str">
            <v>: - Volume Pasir</v>
          </cell>
          <cell r="G130" t="str">
            <v>Ps</v>
          </cell>
          <cell r="H130">
            <v>75</v>
          </cell>
          <cell r="I130" t="str">
            <v>%</v>
          </cell>
        </row>
        <row r="131">
          <cell r="A131">
            <v>7</v>
          </cell>
          <cell r="C131" t="str">
            <v>pembuangan di sekitar lokasi pekerjaan</v>
          </cell>
          <cell r="G131" t="str">
            <v>L</v>
          </cell>
          <cell r="H131">
            <v>7.4999999999999997E-2</v>
          </cell>
          <cell r="I131" t="str">
            <v>Km</v>
          </cell>
        </row>
        <row r="132">
          <cell r="A132">
            <v>8</v>
          </cell>
          <cell r="C132" t="str">
            <v>- Batu</v>
          </cell>
          <cell r="D132" t="str">
            <v>- Pasir urug</v>
          </cell>
          <cell r="G132" t="str">
            <v>Bt</v>
          </cell>
          <cell r="H132">
            <v>60</v>
          </cell>
          <cell r="I132" t="str">
            <v>%</v>
          </cell>
        </row>
        <row r="133">
          <cell r="A133" t="str">
            <v>III.</v>
          </cell>
          <cell r="C133" t="str">
            <v>PEMAKAIAN BAHAN, ALAT DAN TENAGA</v>
          </cell>
          <cell r="D133" t="str">
            <v>- Batu pecah 10/15</v>
          </cell>
          <cell r="G133" t="str">
            <v>Mr</v>
          </cell>
          <cell r="H133">
            <v>40</v>
          </cell>
          <cell r="I133" t="str">
            <v>%</v>
          </cell>
        </row>
        <row r="134">
          <cell r="A134">
            <v>8</v>
          </cell>
          <cell r="C134" t="str">
            <v>Berat Jenis Bahan  :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 xml:space="preserve">   1.</v>
          </cell>
          <cell r="C135" t="str">
            <v>BAHAN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>- Urugan Pilihan (untuk backfill)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</row>
        <row r="137">
          <cell r="C137" t="str">
            <v>- Adukan (mortar)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 t="str">
            <v xml:space="preserve">   2.</v>
          </cell>
          <cell r="C138" t="str">
            <v>ALAT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EXCAVATOR</v>
          </cell>
          <cell r="G139" t="str">
            <v>(E10)</v>
          </cell>
          <cell r="H139">
            <v>1.44</v>
          </cell>
          <cell r="I139" t="str">
            <v>ton/M3</v>
          </cell>
        </row>
        <row r="140">
          <cell r="A140">
            <v>9</v>
          </cell>
          <cell r="C140" t="str">
            <v>Kapasitas Bucket</v>
          </cell>
          <cell r="E140" t="str">
            <v>- Batu</v>
          </cell>
          <cell r="G140" t="str">
            <v>V</v>
          </cell>
          <cell r="H140">
            <v>0.5</v>
          </cell>
          <cell r="I140" t="str">
            <v>M3</v>
          </cell>
        </row>
        <row r="141">
          <cell r="C141" t="str">
            <v>Faktor Bucket</v>
          </cell>
          <cell r="E141" t="str">
            <v>- Pasir / Semen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A142" t="str">
            <v>II.</v>
          </cell>
          <cell r="C142" t="str">
            <v>Faktor  Efisiensi alat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1</v>
          </cell>
          <cell r="C143" t="str">
            <v>Faktor kedalaman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Berat isi material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>
            <v>2</v>
          </cell>
          <cell r="C145" t="str">
            <v>Waktu siklus</v>
          </cell>
        </row>
        <row r="146">
          <cell r="C146" t="str">
            <v>- Menggali / memuat</v>
          </cell>
          <cell r="D146" t="str">
            <v>=  Ak x 1 M3 x Fk</v>
          </cell>
          <cell r="G146" t="str">
            <v>Te1</v>
          </cell>
          <cell r="H146">
            <v>0.3</v>
          </cell>
          <cell r="I146" t="str">
            <v>menit</v>
          </cell>
        </row>
        <row r="147">
          <cell r="A147">
            <v>3</v>
          </cell>
          <cell r="C147" t="str">
            <v>- Lain-lain</v>
          </cell>
          <cell r="D147" t="str">
            <v>=  Ah x 1 M3 x Fk</v>
          </cell>
          <cell r="G147" t="str">
            <v>Te2</v>
          </cell>
          <cell r="H147">
            <v>0.3</v>
          </cell>
          <cell r="I147" t="str">
            <v>menit</v>
          </cell>
        </row>
        <row r="148">
          <cell r="A148" t="str">
            <v>III.</v>
          </cell>
          <cell r="C148" t="str">
            <v>PEMAKAIAN BAHAN, ALAT DAN TENAGA</v>
          </cell>
          <cell r="D148" t="str">
            <v>=  St x 1 M3 x Fk</v>
          </cell>
          <cell r="G148" t="str">
            <v>Te</v>
          </cell>
          <cell r="H148">
            <v>0.6</v>
          </cell>
          <cell r="I148" t="str">
            <v>menit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1.</v>
          </cell>
          <cell r="C150" t="str">
            <v>Kap. Prod. / jam =</v>
          </cell>
          <cell r="D150" t="str">
            <v>V  x Fb x Fa x Fd x Bim x 60</v>
          </cell>
          <cell r="G150" t="str">
            <v>Q1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Batu     -----&gt;</v>
          </cell>
          <cell r="D151" t="str">
            <v>Te x Fh</v>
          </cell>
          <cell r="G151" t="str">
            <v>(M06)</v>
          </cell>
          <cell r="H151">
            <v>1.08</v>
          </cell>
          <cell r="I151" t="str">
            <v>M3</v>
          </cell>
        </row>
        <row r="152">
          <cell r="A152" t="str">
            <v>1.b.</v>
          </cell>
          <cell r="C152" t="str">
            <v>Semen    ----&gt;</v>
          </cell>
          <cell r="D152" t="str">
            <v>Sm x {(Mr x D1 x 1 M3} : D3} x Fh2</v>
          </cell>
          <cell r="G152" t="str">
            <v>(M12)</v>
          </cell>
          <cell r="H152">
            <v>0.14000000000000001</v>
          </cell>
          <cell r="I152" t="str">
            <v>M3</v>
          </cell>
        </row>
        <row r="153">
          <cell r="C153" t="str">
            <v>Koefisien Alat / M3</v>
          </cell>
          <cell r="D153" t="str">
            <v xml:space="preserve"> =  1  :  Q1</v>
          </cell>
          <cell r="G153" t="str">
            <v>(E10)</v>
          </cell>
          <cell r="H153">
            <v>4.7199999999999999E-2</v>
          </cell>
          <cell r="I153" t="str">
            <v>Jam</v>
          </cell>
        </row>
        <row r="154">
          <cell r="A154" t="str">
            <v>1.c.</v>
          </cell>
          <cell r="C154" t="str">
            <v>Pasir    -----&gt;</v>
          </cell>
          <cell r="D154" t="str">
            <v>Ps x {(Mr x D1 x 1 M3) : D4} x Fh2</v>
          </cell>
          <cell r="G154" t="str">
            <v>(M01)</v>
          </cell>
          <cell r="H154">
            <v>0.45269999999999999</v>
          </cell>
          <cell r="I154" t="str">
            <v>M3</v>
          </cell>
        </row>
        <row r="155">
          <cell r="A155" t="str">
            <v>2.b.</v>
          </cell>
          <cell r="C155" t="str">
            <v>BULLDOZER</v>
          </cell>
          <cell r="G155" t="str">
            <v>(E04)</v>
          </cell>
        </row>
        <row r="156">
          <cell r="A156" t="str">
            <v>2.</v>
          </cell>
          <cell r="C156" t="str">
            <v>Faktor blade</v>
          </cell>
          <cell r="G156" t="str">
            <v>Fb</v>
          </cell>
          <cell r="H156">
            <v>0.9</v>
          </cell>
          <cell r="I156" t="str">
            <v>-</v>
          </cell>
        </row>
        <row r="157">
          <cell r="A157" t="str">
            <v>2.a.</v>
          </cell>
          <cell r="C157" t="str">
            <v>Faktor  efisiensi alat</v>
          </cell>
          <cell r="G157" t="str">
            <v>Fa</v>
          </cell>
          <cell r="H157">
            <v>0.83</v>
          </cell>
          <cell r="I157" t="str">
            <v>-</v>
          </cell>
        </row>
        <row r="158">
          <cell r="C158" t="str">
            <v>Kecepatan maju</v>
          </cell>
          <cell r="G158" t="str">
            <v>F</v>
          </cell>
          <cell r="H158">
            <v>3</v>
          </cell>
          <cell r="I158" t="str">
            <v>Km/Jam</v>
          </cell>
        </row>
        <row r="159">
          <cell r="C159" t="str">
            <v>Kecepatan mundur</v>
          </cell>
          <cell r="D159" t="str">
            <v>=  2  buah</v>
          </cell>
          <cell r="G159" t="str">
            <v>R</v>
          </cell>
          <cell r="H159">
            <v>4</v>
          </cell>
          <cell r="I159" t="str">
            <v>Km/Jam</v>
          </cell>
        </row>
        <row r="160">
          <cell r="C160" t="str">
            <v>Lebar Blade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Tinggi blade</v>
          </cell>
          <cell r="D161" t="str">
            <v>=  2  buah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Jarak Gusur</v>
          </cell>
          <cell r="D162" t="str">
            <v>=  4  buah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Volume 1 kali gusur =</v>
          </cell>
          <cell r="D163" t="str">
            <v>=  1  buah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>3.</v>
          </cell>
          <cell r="C165" t="str">
            <v>TENAGA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>Produksi Pasangan Batu dengan Mortar dalam 1 hari</v>
          </cell>
          <cell r="D166" t="str">
            <v>:  3.1 (3)</v>
          </cell>
          <cell r="G166" t="str">
            <v>Qt</v>
          </cell>
          <cell r="H166">
            <v>4</v>
          </cell>
          <cell r="I166" t="str">
            <v>M3</v>
          </cell>
          <cell r="J166" t="str">
            <v>Analisa EI-314</v>
          </cell>
          <cell r="T166" t="str">
            <v>Analisa EI-321</v>
          </cell>
        </row>
        <row r="167">
          <cell r="A167" t="str">
            <v>JENIS PEKERJAAN</v>
          </cell>
          <cell r="C167" t="str">
            <v>Kebutuhan tenaga :</v>
          </cell>
          <cell r="D167" t="str">
            <v>:  Galian Struktur Kedalaman 0-2 M</v>
          </cell>
          <cell r="G167" t="str">
            <v>M</v>
          </cell>
          <cell r="H167">
            <v>1</v>
          </cell>
          <cell r="I167" t="str">
            <v>orang</v>
          </cell>
        </row>
        <row r="168">
          <cell r="A168" t="str">
            <v>SATUAN PEMBAYARAN</v>
          </cell>
          <cell r="D168" t="str">
            <v>:  M3</v>
          </cell>
          <cell r="G168" t="str">
            <v>Tb</v>
          </cell>
          <cell r="H168" t="str">
            <v xml:space="preserve">         URAIAN ANALISA HARGA SATUAN</v>
          </cell>
          <cell r="I168" t="str">
            <v>orang</v>
          </cell>
          <cell r="L168" t="str">
            <v>FORMULIR STANDAR UNTUK</v>
          </cell>
        </row>
        <row r="169">
          <cell r="D169" t="str">
            <v>- Pekerja</v>
          </cell>
          <cell r="G169" t="str">
            <v>P</v>
          </cell>
          <cell r="H169">
            <v>10</v>
          </cell>
          <cell r="I169" t="str">
            <v>orang</v>
          </cell>
          <cell r="J169" t="str">
            <v>Lanjutan</v>
          </cell>
          <cell r="L169" t="str">
            <v>PEREKAMAN ANALISA MASING-MASING HARGA SATUAN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KETERANGAN</v>
          </cell>
          <cell r="L171" t="str">
            <v>PROYEK</v>
          </cell>
          <cell r="O171" t="str">
            <v>:  Peningkatan Jalan dan Jembatan Wilayah Barat</v>
          </cell>
        </row>
        <row r="172">
          <cell r="A172" t="str">
            <v>ITEM PEMBAYARAN NO.</v>
          </cell>
          <cell r="D172" t="str">
            <v>:  2.2</v>
          </cell>
          <cell r="J172" t="str">
            <v xml:space="preserve">Analisa LI-22 </v>
          </cell>
          <cell r="L172" t="str">
            <v>No. PAKET KONTRAK</v>
          </cell>
          <cell r="O172" t="str">
            <v xml:space="preserve">: </v>
          </cell>
        </row>
        <row r="173">
          <cell r="A173" t="str">
            <v>JENIS PEKERJAAN</v>
          </cell>
          <cell r="D173" t="str">
            <v>:  Pasangan Batu Dengan Mortar</v>
          </cell>
          <cell r="J173" t="str">
            <v>Analisa El-85</v>
          </cell>
          <cell r="L173" t="str">
            <v>PEKERJAAN</v>
          </cell>
          <cell r="O173" t="str">
            <v>:  Pembangunan Jembatan Beton Tersebar di Wilayah Barat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M3</v>
          </cell>
          <cell r="J174" t="str">
            <v xml:space="preserve">         URAIAN ANALISA HARGA SATUAN</v>
          </cell>
          <cell r="L174" t="str">
            <v>KABUPATEN</v>
          </cell>
          <cell r="O174" t="str">
            <v>:  Lampung Timur</v>
          </cell>
        </row>
        <row r="175">
          <cell r="A175" t="str">
            <v>SATUAN PEMBAYARAN</v>
          </cell>
          <cell r="C175" t="str">
            <v>- Maju</v>
          </cell>
          <cell r="D175" t="str">
            <v>= (L x 60) / (F x 1000)</v>
          </cell>
          <cell r="G175" t="str">
            <v>Tb1</v>
          </cell>
          <cell r="H175">
            <v>1.5</v>
          </cell>
          <cell r="I175" t="str">
            <v>menit</v>
          </cell>
          <cell r="J175" t="str">
            <v>Lanjutan</v>
          </cell>
          <cell r="L175" t="str">
            <v>ITEM PEMBAYARAN NO.</v>
          </cell>
          <cell r="O175" t="str">
            <v>:  3.2 (1)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 t="str">
            <v>JENIS PEKERJAAN</v>
          </cell>
          <cell r="O176" t="str">
            <v>:  Urugan Biasa</v>
          </cell>
        </row>
        <row r="177">
          <cell r="A177" t="str">
            <v>No.</v>
          </cell>
          <cell r="C177" t="str">
            <v>- Lain-lain</v>
          </cell>
          <cell r="G177" t="str">
            <v>Tb3</v>
          </cell>
          <cell r="H177">
            <v>0.2</v>
          </cell>
          <cell r="I177" t="str">
            <v>menit</v>
          </cell>
          <cell r="J177" t="str">
            <v>KETERANGAN</v>
          </cell>
          <cell r="L177" t="str">
            <v>SATUAN PEMBAYARAN</v>
          </cell>
          <cell r="O177" t="str">
            <v>:  M3</v>
          </cell>
        </row>
        <row r="178">
          <cell r="A178" t="str">
            <v>No.</v>
          </cell>
          <cell r="C178" t="str">
            <v>U R A I A N</v>
          </cell>
          <cell r="G178" t="str">
            <v>Tb</v>
          </cell>
          <cell r="H178">
            <v>2.8250000000000002</v>
          </cell>
          <cell r="I178" t="str">
            <v>menit</v>
          </cell>
          <cell r="J178" t="str">
            <v>KETERANGAN</v>
          </cell>
        </row>
        <row r="180"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  <cell r="Q180" t="str">
            <v>PERKIRAAN</v>
          </cell>
          <cell r="R180" t="str">
            <v>HARGA SATUAN</v>
          </cell>
          <cell r="S180" t="str">
            <v>JUMLAH HARGA</v>
          </cell>
        </row>
        <row r="181">
          <cell r="C181" t="str">
            <v>Koefisien Tenaga / M3   :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NO.</v>
          </cell>
          <cell r="N181" t="str">
            <v>KOMPONEN</v>
          </cell>
          <cell r="P181" t="str">
            <v>SATUAN</v>
          </cell>
          <cell r="Q181" t="str">
            <v>KUANTITAS</v>
          </cell>
          <cell r="R181" t="str">
            <v>(Rp.)</v>
          </cell>
          <cell r="S181" t="str">
            <v>(Rp.)</v>
          </cell>
        </row>
        <row r="182">
          <cell r="D182" t="str">
            <v>-  Mandor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 xml:space="preserve"> =  1  :  Q2</v>
          </cell>
          <cell r="E183" t="str">
            <v>= (Tk x Tb) : Qt</v>
          </cell>
          <cell r="G183" t="str">
            <v>(E04)</v>
          </cell>
          <cell r="H183">
            <v>1.7500000000000002E-2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  <cell r="L184" t="str">
            <v>A.</v>
          </cell>
          <cell r="N184" t="str">
            <v>TENAGA</v>
          </cell>
        </row>
        <row r="186">
          <cell r="A186" t="str">
            <v>2.c.</v>
          </cell>
          <cell r="C186" t="str">
            <v>ALAT  BANTU</v>
          </cell>
          <cell r="G186" t="str">
            <v>(E16 )</v>
          </cell>
          <cell r="L186" t="str">
            <v>1.</v>
          </cell>
          <cell r="N186" t="str">
            <v>Pekerja</v>
          </cell>
          <cell r="O186" t="str">
            <v>(L01)</v>
          </cell>
          <cell r="P186" t="str">
            <v>Jam</v>
          </cell>
          <cell r="Q186">
            <v>5.7099999999999998E-2</v>
          </cell>
          <cell r="R186">
            <v>2500</v>
          </cell>
          <cell r="U186">
            <v>142.75</v>
          </cell>
        </row>
        <row r="187">
          <cell r="C187" t="str">
            <v>Diperlukan alat-alat bantu kecil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2.</v>
          </cell>
          <cell r="N187" t="str">
            <v>Mandor</v>
          </cell>
          <cell r="O187" t="str">
            <v>(L03)</v>
          </cell>
          <cell r="P187" t="str">
            <v>Jam</v>
          </cell>
          <cell r="Q187">
            <v>1.43E-2</v>
          </cell>
          <cell r="R187">
            <v>3571.43</v>
          </cell>
          <cell r="U187">
            <v>51.07</v>
          </cell>
        </row>
        <row r="188">
          <cell r="C188" t="str">
            <v>- Pacul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- Sekop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Lihat perhitungan dalam FORMULIR STANDAR UNTUK</v>
          </cell>
          <cell r="G190" t="str">
            <v>Fa</v>
          </cell>
          <cell r="H190">
            <v>0.83</v>
          </cell>
          <cell r="I190" t="str">
            <v>-</v>
          </cell>
          <cell r="Q190" t="str">
            <v xml:space="preserve">JUMLAH HARGA TENAGA   </v>
          </cell>
          <cell r="U190">
            <v>193.82</v>
          </cell>
        </row>
        <row r="191">
          <cell r="C191" t="str">
            <v>PEREKEMAN ANALISA MASING-MASING HARGA</v>
          </cell>
        </row>
        <row r="192">
          <cell r="A192" t="str">
            <v xml:space="preserve">   3.</v>
          </cell>
          <cell r="C192" t="str">
            <v>TENAGA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  <cell r="L192" t="str">
            <v>B.</v>
          </cell>
          <cell r="N192" t="str">
            <v>BAHAN</v>
          </cell>
        </row>
        <row r="193">
          <cell r="C193" t="str">
            <v>Produksi menentukan : EXCAVATOR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Produksi Galian / hari  =  Tk x Q1</v>
          </cell>
          <cell r="D194" t="str">
            <v xml:space="preserve"> =  1  :  Q2</v>
          </cell>
          <cell r="G194" t="str">
            <v>Qt</v>
          </cell>
          <cell r="H194">
            <v>148.16</v>
          </cell>
          <cell r="I194" t="str">
            <v>M3</v>
          </cell>
          <cell r="L194" t="str">
            <v>1.</v>
          </cell>
          <cell r="N194" t="str">
            <v>Material timbunan (M08)</v>
          </cell>
          <cell r="P194" t="str">
            <v>M3</v>
          </cell>
          <cell r="Q194">
            <v>1.2</v>
          </cell>
          <cell r="R194">
            <v>5000</v>
          </cell>
          <cell r="U194">
            <v>6000</v>
          </cell>
        </row>
        <row r="195">
          <cell r="C195" t="str">
            <v>Kebutuhan tenaga :</v>
          </cell>
          <cell r="D195">
            <v>291840.97000000003</v>
          </cell>
          <cell r="E195" t="str">
            <v xml:space="preserve"> / M3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C198" t="str">
            <v>- Kereta dorong</v>
          </cell>
          <cell r="D198" t="str">
            <v>=  2  buah.</v>
          </cell>
        </row>
        <row r="199">
          <cell r="C199" t="str">
            <v>Koefisien tenaga / M3   :</v>
          </cell>
          <cell r="D199" t="str">
            <v>=  3  buah.</v>
          </cell>
        </row>
        <row r="200">
          <cell r="C200" t="str">
            <v>- Garpu</v>
          </cell>
          <cell r="D200" t="str">
            <v>- Pekerja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Q201" t="str">
            <v xml:space="preserve">JUMLAH HARGA BAHAN   </v>
          </cell>
          <cell r="U201">
            <v>6000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HARGA DASAR SATUAN UPAH, BAHAN DAN ALAT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C.</v>
          </cell>
          <cell r="N203" t="str">
            <v>PERALATAN</v>
          </cell>
        </row>
        <row r="204">
          <cell r="C204" t="str">
            <v>Lihat lampiran.</v>
          </cell>
          <cell r="G204" t="str">
            <v>Qt</v>
          </cell>
          <cell r="H204">
            <v>261.45</v>
          </cell>
          <cell r="I204" t="str">
            <v>M3</v>
          </cell>
          <cell r="L204" t="str">
            <v>1.</v>
          </cell>
          <cell r="N204" t="str">
            <v>Whell  Loader</v>
          </cell>
          <cell r="O204" t="str">
            <v>(E15)</v>
          </cell>
          <cell r="P204" t="str">
            <v>Jam</v>
          </cell>
          <cell r="Q204">
            <v>1.43E-2</v>
          </cell>
          <cell r="R204">
            <v>143049.93</v>
          </cell>
          <cell r="U204">
            <v>2045.61</v>
          </cell>
        </row>
        <row r="205">
          <cell r="C205" t="str">
            <v>Kebutuhan tenaga :</v>
          </cell>
          <cell r="L205" t="str">
            <v>2.</v>
          </cell>
          <cell r="N205" t="str">
            <v>Dump Truck</v>
          </cell>
          <cell r="O205" t="str">
            <v>(E08)</v>
          </cell>
          <cell r="P205" t="str">
            <v>Jam</v>
          </cell>
          <cell r="Q205">
            <v>3.3099999999999997E-2</v>
          </cell>
          <cell r="R205">
            <v>82267.929999999993</v>
          </cell>
          <cell r="U205">
            <v>2723.07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3.</v>
          </cell>
          <cell r="N206" t="str">
            <v>Motor Grader</v>
          </cell>
          <cell r="O206" t="str">
            <v>(E13)</v>
          </cell>
          <cell r="P206" t="str">
            <v>Jam</v>
          </cell>
          <cell r="Q206">
            <v>1.17E-2</v>
          </cell>
          <cell r="R206">
            <v>182896.93</v>
          </cell>
          <cell r="U206">
            <v>2139.89</v>
          </cell>
        </row>
        <row r="207">
          <cell r="C207" t="str">
            <v>Lihat perhitungan dalam FORMULIR STANDAR UNTUK</v>
          </cell>
          <cell r="D207" t="str">
            <v>- Mandor</v>
          </cell>
          <cell r="G207" t="str">
            <v>M</v>
          </cell>
          <cell r="H207">
            <v>5</v>
          </cell>
          <cell r="I207" t="str">
            <v>orang</v>
          </cell>
          <cell r="L207" t="str">
            <v>3.</v>
          </cell>
          <cell r="N207" t="str">
            <v>Vibro Roller</v>
          </cell>
          <cell r="O207" t="str">
            <v>(E19)</v>
          </cell>
          <cell r="P207" t="str">
            <v>Jam</v>
          </cell>
          <cell r="Q207">
            <v>2.1399999999999999E-2</v>
          </cell>
          <cell r="R207">
            <v>106334.43</v>
          </cell>
          <cell r="U207">
            <v>2275.56</v>
          </cell>
        </row>
        <row r="208">
          <cell r="C208" t="str">
            <v>PEREKEMAN ANALISA MASING-MASING HARGA</v>
          </cell>
          <cell r="L208" t="str">
            <v>4.</v>
          </cell>
          <cell r="N208" t="str">
            <v>Water Tanker</v>
          </cell>
          <cell r="O208" t="str">
            <v>(E23)</v>
          </cell>
          <cell r="P208" t="str">
            <v>Jam</v>
          </cell>
          <cell r="Q208">
            <v>2.1100000000000001E-2</v>
          </cell>
          <cell r="R208">
            <v>82267.929999999993</v>
          </cell>
          <cell r="U208">
            <v>1735.85</v>
          </cell>
        </row>
        <row r="209">
          <cell r="C209" t="str">
            <v>SATUAN.</v>
          </cell>
          <cell r="L209" t="str">
            <v>5.</v>
          </cell>
          <cell r="N209" t="str">
            <v>Alat  Bantu</v>
          </cell>
          <cell r="P209" t="str">
            <v>Ls</v>
          </cell>
          <cell r="Q209">
            <v>1</v>
          </cell>
          <cell r="R209">
            <v>1000</v>
          </cell>
          <cell r="U209">
            <v>1000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  <cell r="Q212" t="str">
            <v xml:space="preserve">JUMLAH HARGA PERALATAN   </v>
          </cell>
          <cell r="U212">
            <v>11919.98</v>
          </cell>
        </row>
        <row r="213">
          <cell r="A213" t="str">
            <v>4.</v>
          </cell>
          <cell r="C213" t="str">
            <v>HARGA DASAR SATUAN UPAH, BAHAN DAN ALAT</v>
          </cell>
          <cell r="L213" t="str">
            <v>D.</v>
          </cell>
          <cell r="N213" t="str">
            <v>JUMLAH HARGA TENAGA, BAHAN DAN PERALATAN  ( A + B + C )</v>
          </cell>
          <cell r="U213">
            <v>18113.8</v>
          </cell>
        </row>
        <row r="214">
          <cell r="C214" t="str">
            <v>Lihat lampiran.</v>
          </cell>
          <cell r="L214" t="str">
            <v>E.</v>
          </cell>
          <cell r="N214" t="str">
            <v>OVERHEAD &amp; PROFIT</v>
          </cell>
          <cell r="P214">
            <v>10</v>
          </cell>
          <cell r="Q214" t="str">
            <v>%  x  D</v>
          </cell>
          <cell r="U214">
            <v>1811.38</v>
          </cell>
        </row>
        <row r="215">
          <cell r="L215" t="str">
            <v>F.</v>
          </cell>
          <cell r="N215" t="str">
            <v>HARGA SATUAN PEKERJAAN  ( D + E )</v>
          </cell>
          <cell r="U215">
            <v>19925.18</v>
          </cell>
        </row>
        <row r="216">
          <cell r="A216" t="str">
            <v>5.</v>
          </cell>
          <cell r="C216" t="str">
            <v>ANALISA HARGA SATUAN PEKERJAAN</v>
          </cell>
          <cell r="L216" t="str">
            <v>Note: 1</v>
          </cell>
          <cell r="N216" t="str">
            <v>SATUAN dapat berdasarkan atas jam operasi untuk Tenaga Kerja dan Peralatan, volume dan/atau ukuran berat untuk bahan-bahan</v>
          </cell>
        </row>
        <row r="217">
          <cell r="C217" t="str">
            <v>Lihat perhitungan dalam FORMULIR STANDAR UNTUK</v>
          </cell>
          <cell r="L217">
            <v>2</v>
          </cell>
          <cell r="N217" t="str">
            <v>Kuantitas satuan adalah kuantitas setiap komponen untuk menyelesaikan satu satuan pekerjaan dari nomor mata pembayaran</v>
          </cell>
        </row>
        <row r="218">
          <cell r="C218" t="str">
            <v>PEREKAMAN ANALISA MASING-MASING HARGA</v>
          </cell>
          <cell r="L218">
            <v>3</v>
          </cell>
          <cell r="N218" t="str">
            <v>Biaya satuan untuk peralatan sudah termasuk bahan bakar, bahan habis dipakai dan operator.</v>
          </cell>
        </row>
        <row r="219">
          <cell r="C219" t="str">
            <v>SATUAN.</v>
          </cell>
          <cell r="L219">
            <v>4</v>
          </cell>
          <cell r="N219" t="str">
            <v>Biaya satuan sudah termasuk pengeluaran untuk seluruh pajak yang berkaitan (tetapi tidak termasuk PPN yang dibayar dari kontrak )</v>
          </cell>
        </row>
        <row r="220">
          <cell r="N220" t="str">
            <v>dan biaya-biaya lainnya.</v>
          </cell>
        </row>
        <row r="221">
          <cell r="A221" t="str">
            <v>ITEM PEMBAYARAN NO.</v>
          </cell>
          <cell r="C221" t="str">
            <v>Rp.</v>
          </cell>
          <cell r="D221" t="str">
            <v>:  3.1 (5)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  <row r="229">
          <cell r="A229" t="str">
            <v>I.</v>
          </cell>
          <cell r="C229" t="str">
            <v>ASUMSI</v>
          </cell>
        </row>
        <row r="230">
          <cell r="A230">
            <v>1</v>
          </cell>
          <cell r="C230" t="str">
            <v>Pekerjaan dilakukan secara manual</v>
          </cell>
        </row>
        <row r="231">
          <cell r="A231">
            <v>2</v>
          </cell>
          <cell r="C231" t="str">
            <v>Lokasi pekerjaan : sekitar jembatan</v>
          </cell>
        </row>
        <row r="232">
          <cell r="A232">
            <v>3</v>
          </cell>
          <cell r="C232" t="str">
            <v>Kondisi Jalan   :  sedang / baik</v>
          </cell>
        </row>
        <row r="233">
          <cell r="A233">
            <v>4</v>
          </cell>
          <cell r="C233" t="str">
            <v>Jam kerja efektif per-hari</v>
          </cell>
          <cell r="G233" t="str">
            <v>Tk</v>
          </cell>
          <cell r="H233">
            <v>7</v>
          </cell>
          <cell r="I233" t="str">
            <v>Jam</v>
          </cell>
        </row>
        <row r="234">
          <cell r="A234">
            <v>5</v>
          </cell>
          <cell r="C234" t="str">
            <v>Faktor pengembangan bahan</v>
          </cell>
          <cell r="G234" t="str">
            <v>Fh</v>
          </cell>
          <cell r="H234">
            <v>1.2</v>
          </cell>
          <cell r="I234" t="str">
            <v>-</v>
          </cell>
        </row>
        <row r="235">
          <cell r="A235">
            <v>6</v>
          </cell>
          <cell r="C235" t="str">
            <v>Pengurugan kembali (backfill) untuk struktur</v>
          </cell>
          <cell r="G235" t="str">
            <v>Uk</v>
          </cell>
          <cell r="H235">
            <v>25</v>
          </cell>
          <cell r="I235" t="str">
            <v>%/M3</v>
          </cell>
        </row>
        <row r="237">
          <cell r="A237" t="str">
            <v>II.</v>
          </cell>
          <cell r="C237" t="str">
            <v>METHODE PELAKSANAAN</v>
          </cell>
        </row>
        <row r="238">
          <cell r="A238">
            <v>1</v>
          </cell>
          <cell r="C238" t="str">
            <v>Tanah yang dipotong berada disekitar jembatan</v>
          </cell>
        </row>
        <row r="239">
          <cell r="A239">
            <v>2</v>
          </cell>
          <cell r="C239" t="str">
            <v>Penggalian dilakukan dengan menggunakan alat Excavator</v>
          </cell>
        </row>
        <row r="240">
          <cell r="A240">
            <v>3</v>
          </cell>
          <cell r="C240" t="str">
            <v>Bulldozer mengangkut/mengusur hasil galian ke tempat</v>
          </cell>
        </row>
        <row r="241">
          <cell r="C241" t="str">
            <v>pembuangan di sekitar lokasi pekerjaan</v>
          </cell>
          <cell r="G241" t="str">
            <v>L</v>
          </cell>
          <cell r="H241">
            <v>7.4999999999999997E-2</v>
          </cell>
          <cell r="I241" t="str">
            <v>Km</v>
          </cell>
        </row>
        <row r="243">
          <cell r="A243" t="str">
            <v>III.</v>
          </cell>
          <cell r="C243" t="str">
            <v>PEMAKAIAN BAHAN, ALAT DAN TENAGA</v>
          </cell>
        </row>
        <row r="245">
          <cell r="A245" t="str">
            <v xml:space="preserve">   1.</v>
          </cell>
          <cell r="C245" t="str">
            <v>BAHAN</v>
          </cell>
        </row>
        <row r="246">
          <cell r="C246" t="str">
            <v>- Urugan Pilihan (untuk backfill)</v>
          </cell>
          <cell r="E246" t="str">
            <v>= Uk x 1M3</v>
          </cell>
          <cell r="G246" t="str">
            <v>(EI-322)</v>
          </cell>
          <cell r="H246">
            <v>0.25</v>
          </cell>
          <cell r="I246" t="str">
            <v>M3</v>
          </cell>
        </row>
        <row r="248">
          <cell r="A248" t="str">
            <v xml:space="preserve">   2.</v>
          </cell>
          <cell r="C248" t="str">
            <v>ALAT</v>
          </cell>
        </row>
        <row r="249">
          <cell r="A249" t="str">
            <v xml:space="preserve">   2.a.</v>
          </cell>
          <cell r="C249" t="str">
            <v>EXCAVATOR</v>
          </cell>
          <cell r="G249" t="str">
            <v>(E10)</v>
          </cell>
        </row>
        <row r="250">
          <cell r="C250" t="str">
            <v>Kapasitas Bucket</v>
          </cell>
          <cell r="G250" t="str">
            <v>V</v>
          </cell>
          <cell r="H250">
            <v>0.5</v>
          </cell>
          <cell r="I250" t="str">
            <v>M3</v>
          </cell>
        </row>
        <row r="251">
          <cell r="C251" t="str">
            <v>Faktor Bucket</v>
          </cell>
          <cell r="G251" t="str">
            <v>Fb</v>
          </cell>
          <cell r="H251">
            <v>0.9</v>
          </cell>
          <cell r="I251" t="str">
            <v>-</v>
          </cell>
        </row>
        <row r="252">
          <cell r="C252" t="str">
            <v>Faktor  Efisiensi alat</v>
          </cell>
          <cell r="G252" t="str">
            <v>Fa</v>
          </cell>
          <cell r="H252">
            <v>0.83</v>
          </cell>
          <cell r="I252" t="str">
            <v>-</v>
          </cell>
        </row>
        <row r="253">
          <cell r="C253" t="str">
            <v>Faktor kedalaman</v>
          </cell>
          <cell r="G253" t="str">
            <v>Fd</v>
          </cell>
          <cell r="H253">
            <v>0.65</v>
          </cell>
          <cell r="I253" t="str">
            <v>-</v>
          </cell>
        </row>
        <row r="254">
          <cell r="C254" t="str">
            <v>Berat isi material</v>
          </cell>
          <cell r="G254" t="str">
            <v>Bim</v>
          </cell>
          <cell r="H254">
            <v>0.85</v>
          </cell>
          <cell r="I254" t="str">
            <v>-</v>
          </cell>
        </row>
        <row r="255">
          <cell r="C255" t="str">
            <v>Waktu siklus</v>
          </cell>
        </row>
        <row r="256">
          <cell r="C256" t="str">
            <v>- Menggali / memuat</v>
          </cell>
          <cell r="G256" t="str">
            <v>Te1</v>
          </cell>
          <cell r="H256">
            <v>0.25</v>
          </cell>
          <cell r="I256" t="str">
            <v>menit</v>
          </cell>
        </row>
        <row r="257">
          <cell r="C257" t="str">
            <v>- Lain-lain</v>
          </cell>
          <cell r="G257" t="str">
            <v>Te2</v>
          </cell>
          <cell r="H257">
            <v>0.3</v>
          </cell>
          <cell r="I257" t="str">
            <v>menit</v>
          </cell>
        </row>
        <row r="258">
          <cell r="G258" t="str">
            <v>Te</v>
          </cell>
          <cell r="H258">
            <v>0.55000000000000004</v>
          </cell>
          <cell r="I258" t="str">
            <v>menit</v>
          </cell>
        </row>
        <row r="260">
          <cell r="C260" t="str">
            <v>Kap. Prod. / jam =</v>
          </cell>
          <cell r="D260" t="str">
            <v>V  x Fb x Fa x Fd x Bim x 60</v>
          </cell>
          <cell r="G260" t="str">
            <v>Q1</v>
          </cell>
          <cell r="H260">
            <v>18.759899999999998</v>
          </cell>
          <cell r="I260" t="str">
            <v>M3/Jam</v>
          </cell>
        </row>
        <row r="261">
          <cell r="D261" t="str">
            <v>Te x Fh</v>
          </cell>
        </row>
        <row r="263">
          <cell r="C263" t="str">
            <v>Koefisien Alat / M3</v>
          </cell>
          <cell r="D263" t="str">
            <v xml:space="preserve"> =  1  :  Q1</v>
          </cell>
          <cell r="G263" t="str">
            <v>(E10)</v>
          </cell>
          <cell r="H263">
            <v>5.33E-2</v>
          </cell>
          <cell r="I263" t="str">
            <v>Jam</v>
          </cell>
        </row>
        <row r="265">
          <cell r="A265" t="str">
            <v>2.b.</v>
          </cell>
          <cell r="C265" t="str">
            <v>BULLDOZER</v>
          </cell>
          <cell r="G265" t="str">
            <v>(E04)</v>
          </cell>
        </row>
        <row r="266">
          <cell r="C266" t="str">
            <v>Faktor blade</v>
          </cell>
          <cell r="G266" t="str">
            <v>Fb</v>
          </cell>
          <cell r="H266">
            <v>0.9</v>
          </cell>
          <cell r="I266" t="str">
            <v>-</v>
          </cell>
        </row>
        <row r="267">
          <cell r="C267" t="str">
            <v>Faktor  efisiensi alat</v>
          </cell>
          <cell r="G267" t="str">
            <v>Fa</v>
          </cell>
          <cell r="H267">
            <v>0.83</v>
          </cell>
          <cell r="I267" t="str">
            <v>-</v>
          </cell>
        </row>
        <row r="268">
          <cell r="C268" t="str">
            <v>Kecepatan maju</v>
          </cell>
          <cell r="G268" t="str">
            <v>F</v>
          </cell>
          <cell r="H268">
            <v>3</v>
          </cell>
          <cell r="I268" t="str">
            <v>Km/Jam</v>
          </cell>
        </row>
        <row r="269">
          <cell r="C269" t="str">
            <v>Kecepatan mundur</v>
          </cell>
          <cell r="G269" t="str">
            <v>R</v>
          </cell>
          <cell r="H269">
            <v>4</v>
          </cell>
          <cell r="I269" t="str">
            <v>Km/Jam</v>
          </cell>
        </row>
        <row r="270">
          <cell r="C270" t="str">
            <v>Lebar Blade</v>
          </cell>
          <cell r="G270" t="str">
            <v>B</v>
          </cell>
          <cell r="H270">
            <v>3</v>
          </cell>
          <cell r="I270" t="str">
            <v>M</v>
          </cell>
        </row>
        <row r="271">
          <cell r="A271" t="str">
            <v>`</v>
          </cell>
          <cell r="C271" t="str">
            <v>Tinggi blade</v>
          </cell>
          <cell r="G271" t="str">
            <v>H</v>
          </cell>
          <cell r="H271">
            <v>1.2</v>
          </cell>
          <cell r="I271" t="str">
            <v>M</v>
          </cell>
        </row>
        <row r="272">
          <cell r="C272" t="str">
            <v>Jarak Gusur</v>
          </cell>
          <cell r="G272" t="str">
            <v>L</v>
          </cell>
          <cell r="H272">
            <v>75</v>
          </cell>
          <cell r="I272" t="str">
            <v>M</v>
          </cell>
          <cell r="L272">
            <v>2</v>
          </cell>
          <cell r="N272" t="str">
            <v>Kuantitas satuan adalah kuantitas setiap komponen untuk menyelesaikan satu satuan pekerjaan dari nomor mata pembayaran</v>
          </cell>
        </row>
        <row r="273">
          <cell r="C273" t="str">
            <v>Volume 1 kali gusur =</v>
          </cell>
          <cell r="E273" t="str">
            <v>H^2 x B x Fb</v>
          </cell>
          <cell r="G273" t="str">
            <v>V</v>
          </cell>
          <cell r="H273">
            <v>3.89</v>
          </cell>
          <cell r="I273" t="str">
            <v>M3</v>
          </cell>
          <cell r="J273" t="str">
            <v>Loose</v>
          </cell>
          <cell r="L273">
            <v>3</v>
          </cell>
          <cell r="N273" t="str">
            <v>Biaya satuan untuk peralatan sudah termasuk bahan bakar, bahan habis dipakai dan operator.</v>
          </cell>
        </row>
        <row r="274">
          <cell r="L274">
            <v>4</v>
          </cell>
          <cell r="N274" t="str">
            <v>Biaya satuan sudah termasuk pengeluaran untuk seluruh pajak yang berkaitan (tetapi tidak termasuk PPN yang dibayar dari kontrak )</v>
          </cell>
        </row>
        <row r="275">
          <cell r="J275" t="str">
            <v>Berlanjut ke halaman berikut</v>
          </cell>
          <cell r="N275" t="str">
            <v>dan biaya-biaya lainnya.</v>
          </cell>
        </row>
        <row r="276">
          <cell r="A276" t="str">
            <v>ITEM PEMBAYARAN NO.</v>
          </cell>
          <cell r="D276" t="str">
            <v>:  3.1 (5)</v>
          </cell>
          <cell r="J276" t="str">
            <v>Analisa EI-315</v>
          </cell>
        </row>
        <row r="277">
          <cell r="A277" t="str">
            <v>JENIS PEKERJAAN</v>
          </cell>
          <cell r="D277" t="str">
            <v>:  Galian Struktur Kedalaman 2-4 M</v>
          </cell>
        </row>
        <row r="278">
          <cell r="A278" t="str">
            <v>SATUAN PEMBAYARAN</v>
          </cell>
          <cell r="D278" t="str">
            <v>:  M3</v>
          </cell>
          <cell r="H278" t="str">
            <v xml:space="preserve">         URAIAN ANALISA HARGA SATUAN</v>
          </cell>
        </row>
        <row r="279">
          <cell r="J279" t="str">
            <v>Lanjutan</v>
          </cell>
        </row>
        <row r="281">
          <cell r="A281" t="str">
            <v>No.</v>
          </cell>
          <cell r="C281" t="str">
            <v>U R A I A N</v>
          </cell>
          <cell r="G281" t="str">
            <v>KODE</v>
          </cell>
          <cell r="H281" t="str">
            <v>KOEF.</v>
          </cell>
          <cell r="I281" t="str">
            <v>SATUAN</v>
          </cell>
          <cell r="J281" t="str">
            <v>KETERANGAN</v>
          </cell>
        </row>
        <row r="284">
          <cell r="C284" t="str">
            <v>Waktu Siklus</v>
          </cell>
        </row>
        <row r="285">
          <cell r="C285" t="str">
            <v>- Maju</v>
          </cell>
          <cell r="D285" t="str">
            <v>= (L x 60) / (F x 1000)</v>
          </cell>
          <cell r="G285" t="str">
            <v>Tb1</v>
          </cell>
          <cell r="H285">
            <v>1.5</v>
          </cell>
          <cell r="I285" t="str">
            <v>menit</v>
          </cell>
        </row>
        <row r="286">
          <cell r="C286" t="str">
            <v>- Mundur</v>
          </cell>
          <cell r="D286" t="str">
            <v>= (L x 60) / (R x 1000)</v>
          </cell>
          <cell r="G286" t="str">
            <v>Tb2</v>
          </cell>
          <cell r="H286">
            <v>1.125</v>
          </cell>
          <cell r="I286" t="str">
            <v>menit</v>
          </cell>
        </row>
        <row r="287">
          <cell r="C287" t="str">
            <v>- Lain-lain</v>
          </cell>
          <cell r="G287" t="str">
            <v>Tb3</v>
          </cell>
          <cell r="H287">
            <v>0.2</v>
          </cell>
          <cell r="I287" t="str">
            <v>menit</v>
          </cell>
        </row>
        <row r="288">
          <cell r="G288" t="str">
            <v>Tb</v>
          </cell>
          <cell r="H288">
            <v>2.8250000000000002</v>
          </cell>
          <cell r="I288" t="str">
            <v>menit</v>
          </cell>
        </row>
        <row r="290">
          <cell r="C290" t="str">
            <v>Kapasitas Produksi / Jam   =</v>
          </cell>
          <cell r="E290" t="str">
            <v>V x Fa x 60</v>
          </cell>
          <cell r="G290" t="str">
            <v>Q2</v>
          </cell>
          <cell r="H290">
            <v>57.145099999999999</v>
          </cell>
          <cell r="I290" t="str">
            <v xml:space="preserve">M3 / Jam </v>
          </cell>
        </row>
        <row r="291">
          <cell r="E291" t="str">
            <v xml:space="preserve">    Tb x Fh</v>
          </cell>
        </row>
        <row r="293">
          <cell r="C293" t="str">
            <v>Koefisien Alat / M3</v>
          </cell>
          <cell r="D293" t="str">
            <v xml:space="preserve"> =  1  :  Q2</v>
          </cell>
          <cell r="G293" t="str">
            <v>(E04)</v>
          </cell>
          <cell r="H293">
            <v>1.7500000000000002E-2</v>
          </cell>
          <cell r="I293" t="str">
            <v>Jam</v>
          </cell>
        </row>
        <row r="296">
          <cell r="A296" t="str">
            <v>2.c.</v>
          </cell>
          <cell r="C296" t="str">
            <v>ALAT  BANTU</v>
          </cell>
        </row>
        <row r="297">
          <cell r="C297" t="str">
            <v>Diperlukan alat-alat bantu kecil</v>
          </cell>
          <cell r="J297" t="str">
            <v>Lump Sump</v>
          </cell>
        </row>
        <row r="298">
          <cell r="C298" t="str">
            <v>- Pacul</v>
          </cell>
          <cell r="D298" t="str">
            <v>=  2  buah</v>
          </cell>
        </row>
        <row r="299">
          <cell r="C299" t="str">
            <v>- Sekop</v>
          </cell>
          <cell r="D299" t="str">
            <v>=  2  buah</v>
          </cell>
        </row>
        <row r="302">
          <cell r="A302" t="str">
            <v xml:space="preserve">   3.</v>
          </cell>
          <cell r="C302" t="str">
            <v>TENAGA</v>
          </cell>
        </row>
        <row r="303">
          <cell r="C303" t="str">
            <v>Produksi menentukan : EXCAVATOR</v>
          </cell>
          <cell r="G303" t="str">
            <v>Q1</v>
          </cell>
          <cell r="H303">
            <v>18.759899999999998</v>
          </cell>
          <cell r="I303" t="str">
            <v>M3/Jam</v>
          </cell>
        </row>
        <row r="304">
          <cell r="C304" t="str">
            <v>Produksi Galian / hari  =  Tk x Q1</v>
          </cell>
          <cell r="G304" t="str">
            <v>Qt</v>
          </cell>
          <cell r="H304">
            <v>131.3193</v>
          </cell>
          <cell r="I304" t="str">
            <v>M3</v>
          </cell>
        </row>
        <row r="305">
          <cell r="C305" t="str">
            <v>Kebutuhan tenaga :</v>
          </cell>
        </row>
        <row r="306">
          <cell r="D306" t="str">
            <v>- Pekerja</v>
          </cell>
          <cell r="G306" t="str">
            <v>P</v>
          </cell>
          <cell r="H306">
            <v>4</v>
          </cell>
          <cell r="I306" t="str">
            <v>orang</v>
          </cell>
        </row>
        <row r="307">
          <cell r="D307" t="str">
            <v>- Mandor</v>
          </cell>
          <cell r="G307" t="str">
            <v>M</v>
          </cell>
          <cell r="H307">
            <v>1</v>
          </cell>
          <cell r="I307" t="str">
            <v>orang</v>
          </cell>
        </row>
        <row r="309">
          <cell r="C309" t="str">
            <v>Koefisien tenaga / M3   :</v>
          </cell>
        </row>
        <row r="310">
          <cell r="D310" t="str">
            <v>- Pekerja</v>
          </cell>
          <cell r="E310" t="str">
            <v>= (Tk x P) : Qt</v>
          </cell>
          <cell r="G310" t="str">
            <v>(L01)</v>
          </cell>
          <cell r="H310">
            <v>0.2132</v>
          </cell>
          <cell r="I310" t="str">
            <v>Jam</v>
          </cell>
        </row>
        <row r="311">
          <cell r="D311" t="str">
            <v>- Mandor</v>
          </cell>
          <cell r="E311" t="str">
            <v>= (Tk x M) : Qt</v>
          </cell>
          <cell r="G311" t="str">
            <v>(L03)</v>
          </cell>
          <cell r="H311">
            <v>5.33E-2</v>
          </cell>
          <cell r="I311" t="str">
            <v>Jam</v>
          </cell>
        </row>
        <row r="313">
          <cell r="A313" t="str">
            <v>4.</v>
          </cell>
          <cell r="C313" t="str">
            <v>HARGA DASAR SATUAN UPAH, BAHAN DAN ALAT</v>
          </cell>
        </row>
        <row r="314">
          <cell r="C314" t="str">
            <v>Lihat lampiran.</v>
          </cell>
        </row>
        <row r="316">
          <cell r="A316" t="str">
            <v>5.</v>
          </cell>
          <cell r="C316" t="str">
            <v>ANALISA HARGA SATUAN PEKERJAAN</v>
          </cell>
        </row>
        <row r="317">
          <cell r="C317" t="str">
            <v>Lihat perhitungan dalam FORMULIR STANDAR UNTUK</v>
          </cell>
        </row>
        <row r="318">
          <cell r="C318" t="str">
            <v>PEREKEMAN ANALISA MASING-MASING HARGA</v>
          </cell>
        </row>
        <row r="319">
          <cell r="C319" t="str">
            <v>SATUAN.</v>
          </cell>
        </row>
        <row r="320">
          <cell r="C320" t="str">
            <v>Didapat Harga Satuan Pekerjaan :</v>
          </cell>
        </row>
        <row r="322">
          <cell r="C322" t="str">
            <v xml:space="preserve">Rp.  </v>
          </cell>
          <cell r="D322">
            <v>27891.64</v>
          </cell>
          <cell r="E322" t="str">
            <v xml:space="preserve"> / M3</v>
          </cell>
        </row>
        <row r="329">
          <cell r="L329">
            <v>4</v>
          </cell>
          <cell r="N329" t="str">
            <v>Biaya satuan sudah termasuk pengeluaran untuk seluruh pajak yang berkaitan (tetapi tidak termasuk PPN yang dibayar dari kontrak )</v>
          </cell>
        </row>
        <row r="330">
          <cell r="N330" t="str">
            <v>dan biaya-biaya lainnya.</v>
          </cell>
        </row>
        <row r="331">
          <cell r="A331" t="str">
            <v>ITEM PEMBAYARAN NO.</v>
          </cell>
          <cell r="D331" t="str">
            <v>:  3.2 (1)</v>
          </cell>
          <cell r="J331" t="str">
            <v>Analisa EI-321</v>
          </cell>
        </row>
        <row r="332">
          <cell r="A332" t="str">
            <v>JENIS PEKERJAAN</v>
          </cell>
          <cell r="D332" t="str">
            <v>:  Urugan Biasa</v>
          </cell>
        </row>
        <row r="333">
          <cell r="A333" t="str">
            <v>SATUAN PEMBAYARAN</v>
          </cell>
          <cell r="D333" t="str">
            <v>:  M3</v>
          </cell>
          <cell r="H333" t="str">
            <v xml:space="preserve">         URAIAN ANALISA HARGA SATUAN</v>
          </cell>
        </row>
        <row r="336">
          <cell r="A336" t="str">
            <v>No.</v>
          </cell>
          <cell r="C336" t="str">
            <v>U R A I A N</v>
          </cell>
          <cell r="G336" t="str">
            <v>KODE</v>
          </cell>
          <cell r="H336" t="str">
            <v>KOEF.</v>
          </cell>
          <cell r="I336" t="str">
            <v>SATUAN</v>
          </cell>
          <cell r="J336" t="str">
            <v>KETERANGAN</v>
          </cell>
        </row>
        <row r="339">
          <cell r="A339" t="str">
            <v>I.</v>
          </cell>
          <cell r="C339" t="str">
            <v>ASUMSI</v>
          </cell>
        </row>
        <row r="340">
          <cell r="A340">
            <v>1</v>
          </cell>
          <cell r="C340" t="str">
            <v>Pekerjaan dilakukan secara mekanis</v>
          </cell>
        </row>
        <row r="341">
          <cell r="A341">
            <v>2</v>
          </cell>
          <cell r="C341" t="str">
            <v>Lokasi pekerjaan : Sekitar Jembatan</v>
          </cell>
        </row>
        <row r="342">
          <cell r="A342">
            <v>3</v>
          </cell>
          <cell r="C342" t="str">
            <v>Kondisi Jalan   :  sedang / baik</v>
          </cell>
        </row>
        <row r="343">
          <cell r="A343">
            <v>4</v>
          </cell>
          <cell r="C343" t="str">
            <v>Jam kerja efektif per-hari</v>
          </cell>
          <cell r="G343" t="str">
            <v>Tk</v>
          </cell>
          <cell r="H343">
            <v>7</v>
          </cell>
          <cell r="I343" t="str">
            <v>Jam</v>
          </cell>
        </row>
        <row r="344">
          <cell r="A344">
            <v>5</v>
          </cell>
          <cell r="C344" t="str">
            <v>Faktor pengembangan bahan</v>
          </cell>
          <cell r="G344" t="str">
            <v>Fk</v>
          </cell>
          <cell r="H344">
            <v>1.2</v>
          </cell>
          <cell r="I344" t="str">
            <v>-</v>
          </cell>
        </row>
        <row r="345">
          <cell r="A345">
            <v>6</v>
          </cell>
          <cell r="C345" t="str">
            <v>Tebal hamparan padat</v>
          </cell>
          <cell r="G345" t="str">
            <v>t</v>
          </cell>
          <cell r="H345">
            <v>0.15</v>
          </cell>
          <cell r="I345" t="str">
            <v>M</v>
          </cell>
        </row>
        <row r="347">
          <cell r="A347" t="str">
            <v>II.</v>
          </cell>
          <cell r="C347" t="str">
            <v>URUTAN KERJA</v>
          </cell>
        </row>
        <row r="348">
          <cell r="A348">
            <v>1</v>
          </cell>
          <cell r="C348" t="str">
            <v>Whell Loader memuat ke dalam Dump Truck</v>
          </cell>
        </row>
        <row r="349">
          <cell r="A349">
            <v>2</v>
          </cell>
          <cell r="C349" t="str">
            <v>Dump Truck mengangkut ke lapangan dengan jarak</v>
          </cell>
        </row>
        <row r="350">
          <cell r="C350" t="str">
            <v>quari ke lapangan</v>
          </cell>
          <cell r="G350" t="str">
            <v>L</v>
          </cell>
          <cell r="H350">
            <v>1</v>
          </cell>
          <cell r="I350" t="str">
            <v>Km</v>
          </cell>
        </row>
        <row r="351">
          <cell r="A351">
            <v>3</v>
          </cell>
          <cell r="C351" t="str">
            <v>Material dihampar dengan menggunakan Motor Grader</v>
          </cell>
        </row>
        <row r="352">
          <cell r="A352">
            <v>4</v>
          </cell>
          <cell r="C352" t="str">
            <v>Hamparan material disiram air dengan Watertank Truck</v>
          </cell>
        </row>
        <row r="353">
          <cell r="C353" t="str">
            <v>(sebelum pelaksanaan pemadatan) dan dipadatkan</v>
          </cell>
        </row>
        <row r="354">
          <cell r="C354" t="str">
            <v>dengan menggunakan Vibro Roller</v>
          </cell>
        </row>
        <row r="355">
          <cell r="A355">
            <v>5</v>
          </cell>
          <cell r="C355" t="str">
            <v>Selama pemadatan sekelompok pekerja  akan merapikan tepi</v>
          </cell>
        </row>
        <row r="356">
          <cell r="C356" t="str">
            <v>hamparan dan level permukaan menggunakan alat bantu</v>
          </cell>
        </row>
        <row r="358">
          <cell r="A358" t="str">
            <v>III.</v>
          </cell>
          <cell r="C358" t="str">
            <v>PEMAKAIAN BAHAN, ALAT DAN TENAGA</v>
          </cell>
        </row>
        <row r="359">
          <cell r="A359" t="str">
            <v xml:space="preserve">   1.</v>
          </cell>
          <cell r="C359" t="str">
            <v>BAHAN</v>
          </cell>
        </row>
        <row r="360">
          <cell r="A360" t="str">
            <v>1.a.</v>
          </cell>
          <cell r="C360" t="str">
            <v>Material timbunan</v>
          </cell>
          <cell r="D360" t="str">
            <v xml:space="preserve"> =  1 x  Fk</v>
          </cell>
          <cell r="G360" t="str">
            <v>(M08)</v>
          </cell>
          <cell r="H360">
            <v>1.2</v>
          </cell>
          <cell r="I360" t="str">
            <v>M3</v>
          </cell>
          <cell r="J360" t="str">
            <v xml:space="preserve"> Borrow Pit</v>
          </cell>
        </row>
        <row r="361">
          <cell r="A361" t="str">
            <v xml:space="preserve">   2.</v>
          </cell>
          <cell r="C361" t="str">
            <v>ALAT</v>
          </cell>
        </row>
        <row r="362">
          <cell r="A362" t="str">
            <v>2.a.</v>
          </cell>
          <cell r="C362" t="str">
            <v>WHELL  LOADER</v>
          </cell>
          <cell r="G362" t="str">
            <v>(E15)</v>
          </cell>
        </row>
        <row r="363">
          <cell r="C363" t="str">
            <v>Kapasitas  Bucket</v>
          </cell>
          <cell r="G363" t="str">
            <v>V</v>
          </cell>
          <cell r="H363">
            <v>1.5</v>
          </cell>
          <cell r="I363" t="str">
            <v>M3</v>
          </cell>
        </row>
        <row r="364">
          <cell r="C364" t="str">
            <v>Faktor Bucket</v>
          </cell>
          <cell r="G364" t="str">
            <v>Fb</v>
          </cell>
          <cell r="H364">
            <v>0.9</v>
          </cell>
          <cell r="I364" t="str">
            <v>-</v>
          </cell>
        </row>
        <row r="365">
          <cell r="C365" t="str">
            <v>Faktor Efisiensi Alat</v>
          </cell>
          <cell r="G365" t="str">
            <v>Fa</v>
          </cell>
          <cell r="H365">
            <v>0.83</v>
          </cell>
          <cell r="I365" t="str">
            <v>-</v>
          </cell>
        </row>
        <row r="366">
          <cell r="C366" t="str">
            <v>Waktu sklus</v>
          </cell>
          <cell r="G366" t="str">
            <v>Ts1</v>
          </cell>
          <cell r="I366" t="str">
            <v>menit</v>
          </cell>
        </row>
        <row r="367">
          <cell r="C367" t="str">
            <v>- Muat</v>
          </cell>
          <cell r="G367" t="str">
            <v>T1</v>
          </cell>
          <cell r="H367">
            <v>0.4</v>
          </cell>
          <cell r="I367" t="str">
            <v>menit</v>
          </cell>
        </row>
        <row r="368">
          <cell r="C368" t="str">
            <v>- Lain-lain</v>
          </cell>
          <cell r="G368" t="str">
            <v>T2</v>
          </cell>
          <cell r="H368">
            <v>0.4</v>
          </cell>
          <cell r="I368" t="str">
            <v>menit</v>
          </cell>
        </row>
        <row r="369">
          <cell r="G369" t="str">
            <v>Ts1</v>
          </cell>
          <cell r="H369">
            <v>0.8</v>
          </cell>
          <cell r="I369" t="str">
            <v>menit</v>
          </cell>
        </row>
        <row r="370">
          <cell r="C370" t="str">
            <v>Kapasitas Produksi / Jam =</v>
          </cell>
          <cell r="E370" t="str">
            <v>V  x  Fb x Fa x 60</v>
          </cell>
          <cell r="G370" t="str">
            <v>Q1</v>
          </cell>
          <cell r="H370">
            <v>70.031300000000002</v>
          </cell>
          <cell r="I370" t="str">
            <v>M3</v>
          </cell>
        </row>
        <row r="371">
          <cell r="E371" t="str">
            <v xml:space="preserve">      Fk x Ts1</v>
          </cell>
        </row>
        <row r="372">
          <cell r="C372" t="str">
            <v>Koefisienalat / M3</v>
          </cell>
          <cell r="D372" t="str">
            <v xml:space="preserve"> =   1 : Q1</v>
          </cell>
          <cell r="G372" t="str">
            <v>(E15)</v>
          </cell>
          <cell r="H372">
            <v>1.43E-2</v>
          </cell>
          <cell r="I372" t="str">
            <v>Jam</v>
          </cell>
        </row>
        <row r="374">
          <cell r="A374" t="str">
            <v xml:space="preserve">   2.b.</v>
          </cell>
          <cell r="C374" t="str">
            <v>DUMP TRUCK</v>
          </cell>
          <cell r="G374" t="str">
            <v>(E08)</v>
          </cell>
        </row>
        <row r="375">
          <cell r="C375" t="str">
            <v>Kapasitas bak</v>
          </cell>
          <cell r="G375" t="str">
            <v>V</v>
          </cell>
          <cell r="H375">
            <v>4</v>
          </cell>
          <cell r="I375" t="str">
            <v>M3</v>
          </cell>
        </row>
        <row r="376">
          <cell r="C376" t="str">
            <v>Faktor  efisiensi alat</v>
          </cell>
          <cell r="G376" t="str">
            <v>Fa</v>
          </cell>
          <cell r="H376">
            <v>0.83</v>
          </cell>
          <cell r="I376" t="str">
            <v>-</v>
          </cell>
        </row>
        <row r="377">
          <cell r="C377" t="str">
            <v>Kecepatan rata-rata bermuatan</v>
          </cell>
          <cell r="G377" t="str">
            <v>v1</v>
          </cell>
          <cell r="H377">
            <v>40</v>
          </cell>
          <cell r="I377" t="str">
            <v>KM/Jam</v>
          </cell>
        </row>
        <row r="378">
          <cell r="C378" t="str">
            <v>Kecepatan rata-rata kosong</v>
          </cell>
          <cell r="G378" t="str">
            <v>v2</v>
          </cell>
          <cell r="H378">
            <v>60</v>
          </cell>
          <cell r="I378" t="str">
            <v>KM/Jam</v>
          </cell>
        </row>
        <row r="379">
          <cell r="C379" t="str">
            <v>Waktusiklus :</v>
          </cell>
          <cell r="G379" t="str">
            <v>Ts2</v>
          </cell>
        </row>
        <row r="380">
          <cell r="C380" t="str">
            <v>-  Waktu tempuh isi   = (L : v1) x 60</v>
          </cell>
          <cell r="G380" t="str">
            <v>T1</v>
          </cell>
          <cell r="H380">
            <v>1.5</v>
          </cell>
          <cell r="I380" t="str">
            <v>menit</v>
          </cell>
        </row>
        <row r="381">
          <cell r="C381" t="str">
            <v>-  Waktu tempuh kosong   = (L : v2) x 60</v>
          </cell>
          <cell r="G381" t="str">
            <v>T2</v>
          </cell>
          <cell r="H381">
            <v>1</v>
          </cell>
          <cell r="I381" t="str">
            <v>menit</v>
          </cell>
        </row>
        <row r="382">
          <cell r="C382" t="str">
            <v>- Lain-lain</v>
          </cell>
          <cell r="G382" t="str">
            <v>T3</v>
          </cell>
          <cell r="H382">
            <v>3</v>
          </cell>
          <cell r="I382" t="str">
            <v>menit</v>
          </cell>
        </row>
        <row r="383">
          <cell r="G383" t="str">
            <v>Ts2</v>
          </cell>
          <cell r="H383">
            <v>5.5</v>
          </cell>
          <cell r="I383" t="str">
            <v>menit</v>
          </cell>
        </row>
        <row r="385">
          <cell r="J385" t="str">
            <v>Berlanjut ke halaman berikut</v>
          </cell>
        </row>
        <row r="386">
          <cell r="A386" t="str">
            <v>ITEM PEMBAYARAN NO.</v>
          </cell>
          <cell r="D386" t="str">
            <v>:  3.2 (1)</v>
          </cell>
          <cell r="J386" t="str">
            <v>Analisa EI-321</v>
          </cell>
        </row>
        <row r="387">
          <cell r="A387" t="str">
            <v>JENIS PEKERJAAN</v>
          </cell>
          <cell r="D387" t="str">
            <v>:  Urugan Biasa</v>
          </cell>
        </row>
        <row r="388">
          <cell r="A388" t="str">
            <v>SATUAN PEMBAYARAN</v>
          </cell>
          <cell r="D388" t="str">
            <v>:  M3</v>
          </cell>
          <cell r="H388" t="str">
            <v xml:space="preserve">         URAIAN ANALISA HARGA SATUAN</v>
          </cell>
        </row>
        <row r="389">
          <cell r="J389" t="str">
            <v>Lanjutan</v>
          </cell>
        </row>
        <row r="391">
          <cell r="A391" t="str">
            <v>No.</v>
          </cell>
          <cell r="C391" t="str">
            <v>U R A I A N</v>
          </cell>
          <cell r="G391" t="str">
            <v>KODE</v>
          </cell>
          <cell r="H391" t="str">
            <v>KOEF.</v>
          </cell>
          <cell r="I391" t="str">
            <v>SATUAN</v>
          </cell>
          <cell r="J391" t="str">
            <v>KETERANGAN</v>
          </cell>
        </row>
        <row r="394">
          <cell r="C394" t="str">
            <v>Kapasitas Produksi / Jam   =</v>
          </cell>
          <cell r="E394" t="str">
            <v>V x Fa x 60</v>
          </cell>
          <cell r="G394" t="str">
            <v>Q2</v>
          </cell>
          <cell r="H394">
            <v>30.181799999999999</v>
          </cell>
          <cell r="I394" t="str">
            <v>M3</v>
          </cell>
        </row>
        <row r="395">
          <cell r="E395" t="str">
            <v xml:space="preserve">    Fk x Ts2</v>
          </cell>
        </row>
        <row r="397">
          <cell r="C397" t="str">
            <v>Koefisien Alat / M3</v>
          </cell>
          <cell r="D397" t="str">
            <v xml:space="preserve"> =  1  :  Q2</v>
          </cell>
          <cell r="G397" t="str">
            <v>(E08)</v>
          </cell>
          <cell r="H397">
            <v>3.3099999999999997E-2</v>
          </cell>
          <cell r="I397" t="str">
            <v>Jam</v>
          </cell>
        </row>
        <row r="399">
          <cell r="A399" t="str">
            <v>2.c.</v>
          </cell>
          <cell r="C399" t="str">
            <v>MOTOR GRADER</v>
          </cell>
          <cell r="G399" t="str">
            <v>(E13)</v>
          </cell>
        </row>
        <row r="400">
          <cell r="C400" t="str">
            <v>Panjang hamparan</v>
          </cell>
          <cell r="G400" t="str">
            <v>Lh</v>
          </cell>
          <cell r="H400">
            <v>50</v>
          </cell>
          <cell r="I400" t="str">
            <v>M</v>
          </cell>
        </row>
        <row r="401">
          <cell r="C401" t="str">
            <v>Lebar Efektif kerja Blade</v>
          </cell>
          <cell r="G401" t="str">
            <v>b</v>
          </cell>
          <cell r="H401">
            <v>2.4</v>
          </cell>
          <cell r="I401" t="str">
            <v>M</v>
          </cell>
        </row>
        <row r="402">
          <cell r="C402" t="str">
            <v>Faktor Efisiensi Alat</v>
          </cell>
          <cell r="G402" t="str">
            <v>Fa</v>
          </cell>
          <cell r="H402">
            <v>0.83</v>
          </cell>
          <cell r="I402" t="str">
            <v>-</v>
          </cell>
        </row>
        <row r="403">
          <cell r="C403" t="str">
            <v>Kecepatan rata-rata alat</v>
          </cell>
          <cell r="G403" t="str">
            <v>v</v>
          </cell>
          <cell r="H403">
            <v>4</v>
          </cell>
          <cell r="I403" t="str">
            <v>Km / Jam</v>
          </cell>
        </row>
        <row r="404">
          <cell r="C404" t="str">
            <v>Jumlah lintasan</v>
          </cell>
          <cell r="G404" t="str">
            <v>n</v>
          </cell>
          <cell r="H404">
            <v>6</v>
          </cell>
          <cell r="I404" t="str">
            <v>lintasan</v>
          </cell>
        </row>
        <row r="405">
          <cell r="C405" t="str">
            <v>Waktu siklus</v>
          </cell>
          <cell r="G405" t="str">
            <v>Ts3</v>
          </cell>
        </row>
        <row r="406">
          <cell r="C406" t="str">
            <v>- Perataan 1 kali lintasan    = Lh : (v x 1000) x 60</v>
          </cell>
          <cell r="G406" t="str">
            <v>T1</v>
          </cell>
          <cell r="H406">
            <v>0.75</v>
          </cell>
          <cell r="I406" t="str">
            <v>menit</v>
          </cell>
        </row>
        <row r="407">
          <cell r="C407" t="str">
            <v>- Lain-lain</v>
          </cell>
          <cell r="G407" t="str">
            <v>T2</v>
          </cell>
          <cell r="H407">
            <v>1</v>
          </cell>
          <cell r="I407" t="str">
            <v>menit</v>
          </cell>
        </row>
        <row r="408">
          <cell r="G408" t="str">
            <v>Ts3</v>
          </cell>
          <cell r="H408">
            <v>1.75</v>
          </cell>
          <cell r="I408" t="str">
            <v>menit</v>
          </cell>
        </row>
        <row r="410">
          <cell r="C410" t="str">
            <v>Kapasitas Produksi / Jam   =</v>
          </cell>
          <cell r="E410" t="str">
            <v>Lh x b x t x Fa x 60</v>
          </cell>
          <cell r="G410" t="str">
            <v>Q3</v>
          </cell>
          <cell r="H410">
            <v>85.371399999999994</v>
          </cell>
          <cell r="I410" t="str">
            <v>M3</v>
          </cell>
        </row>
        <row r="411">
          <cell r="E411" t="str">
            <v xml:space="preserve">      n x Ts3</v>
          </cell>
        </row>
        <row r="412">
          <cell r="C412" t="str">
            <v>Koefisien Alat / M3</v>
          </cell>
          <cell r="D412" t="str">
            <v xml:space="preserve"> =  1  :  Q3</v>
          </cell>
          <cell r="G412" t="str">
            <v>(E13)</v>
          </cell>
          <cell r="H412">
            <v>1.17E-2</v>
          </cell>
          <cell r="I412" t="str">
            <v>Jam</v>
          </cell>
        </row>
        <row r="414">
          <cell r="A414" t="str">
            <v>2.d.</v>
          </cell>
          <cell r="C414" t="str">
            <v>VIBRATOR ROLLER</v>
          </cell>
          <cell r="G414" t="str">
            <v>(E19)</v>
          </cell>
        </row>
        <row r="415">
          <cell r="C415" t="str">
            <v>Kecepatan rata-rata alat</v>
          </cell>
          <cell r="G415" t="str">
            <v>v</v>
          </cell>
          <cell r="H415">
            <v>2.5</v>
          </cell>
          <cell r="I415" t="str">
            <v>Km / Jam</v>
          </cell>
        </row>
        <row r="416">
          <cell r="C416" t="str">
            <v>Lebar efektif pemadatan</v>
          </cell>
          <cell r="G416" t="str">
            <v>b</v>
          </cell>
          <cell r="H416">
            <v>1.2</v>
          </cell>
          <cell r="I416" t="str">
            <v>M</v>
          </cell>
        </row>
        <row r="417">
          <cell r="C417" t="str">
            <v>Jumlah lintasan</v>
          </cell>
          <cell r="G417" t="str">
            <v>n</v>
          </cell>
          <cell r="H417">
            <v>8</v>
          </cell>
          <cell r="I417" t="str">
            <v>lintasan</v>
          </cell>
        </row>
        <row r="418">
          <cell r="C418" t="str">
            <v>Faktor efisiensi alat</v>
          </cell>
          <cell r="G418" t="str">
            <v>Fa</v>
          </cell>
          <cell r="H418">
            <v>0.83</v>
          </cell>
          <cell r="I418" t="str">
            <v>-</v>
          </cell>
        </row>
        <row r="420">
          <cell r="C420" t="str">
            <v>Kapasitas Prod./Jam   =</v>
          </cell>
          <cell r="D420" t="str">
            <v>(v x 1000) x b x t x Fa</v>
          </cell>
          <cell r="G420" t="str">
            <v>Q4</v>
          </cell>
          <cell r="H420">
            <v>46.6875</v>
          </cell>
          <cell r="I420" t="str">
            <v>M3</v>
          </cell>
        </row>
        <row r="421">
          <cell r="D421" t="str">
            <v>n</v>
          </cell>
        </row>
        <row r="423">
          <cell r="C423" t="str">
            <v>Koefisien Alat / M3</v>
          </cell>
          <cell r="D423" t="str">
            <v xml:space="preserve"> =  1  :  Q4</v>
          </cell>
          <cell r="G423" t="str">
            <v>(E19)</v>
          </cell>
          <cell r="H423">
            <v>2.1399999999999999E-2</v>
          </cell>
          <cell r="I423" t="str">
            <v>Jam</v>
          </cell>
        </row>
        <row r="425">
          <cell r="A425" t="str">
            <v>2.e.</v>
          </cell>
          <cell r="C425" t="str">
            <v>WATER TANK TRUCK</v>
          </cell>
          <cell r="G425" t="str">
            <v>(E23)</v>
          </cell>
        </row>
        <row r="426">
          <cell r="C426" t="str">
            <v>Volume tangki air</v>
          </cell>
          <cell r="G426" t="str">
            <v>V</v>
          </cell>
          <cell r="H426">
            <v>4</v>
          </cell>
          <cell r="I426" t="str">
            <v>M3</v>
          </cell>
        </row>
        <row r="427">
          <cell r="C427" t="str">
            <v>Kebutuhan air / M3 material padat</v>
          </cell>
          <cell r="G427" t="str">
            <v>Wc</v>
          </cell>
          <cell r="H427">
            <v>7.0000000000000007E-2</v>
          </cell>
          <cell r="I427" t="str">
            <v>M3</v>
          </cell>
        </row>
        <row r="428">
          <cell r="C428" t="str">
            <v>Pengisian Tangki / jam</v>
          </cell>
          <cell r="G428" t="str">
            <v>n</v>
          </cell>
          <cell r="H428">
            <v>1</v>
          </cell>
          <cell r="I428" t="str">
            <v>kali</v>
          </cell>
        </row>
        <row r="429">
          <cell r="C429" t="str">
            <v>Faktor efisiensi alat</v>
          </cell>
          <cell r="G429" t="str">
            <v>Fa</v>
          </cell>
          <cell r="H429">
            <v>0.83</v>
          </cell>
          <cell r="I429" t="str">
            <v>-</v>
          </cell>
          <cell r="J429" t="str">
            <v>Baik</v>
          </cell>
        </row>
        <row r="431">
          <cell r="C431" t="str">
            <v>Kapasitas Produksi / Jam   =</v>
          </cell>
          <cell r="E431" t="str">
            <v>V  x  n x Fa</v>
          </cell>
          <cell r="G431" t="str">
            <v>Q5</v>
          </cell>
          <cell r="H431">
            <v>47.428600000000003</v>
          </cell>
          <cell r="I431" t="str">
            <v>M3</v>
          </cell>
        </row>
        <row r="432">
          <cell r="E432" t="str">
            <v xml:space="preserve">     Wc</v>
          </cell>
        </row>
        <row r="434">
          <cell r="C434" t="str">
            <v>Koefisien Alat / M3</v>
          </cell>
          <cell r="D434" t="str">
            <v xml:space="preserve"> =  1  :  Q5</v>
          </cell>
          <cell r="G434" t="str">
            <v>(E23)</v>
          </cell>
          <cell r="H434">
            <v>2.1100000000000001E-2</v>
          </cell>
          <cell r="I434" t="str">
            <v>Jam</v>
          </cell>
        </row>
        <row r="436">
          <cell r="A436" t="str">
            <v>2.f.</v>
          </cell>
          <cell r="C436" t="str">
            <v>ALAT  BANTU</v>
          </cell>
        </row>
        <row r="437">
          <cell r="C437" t="str">
            <v>Diperlukan alat-alat bantu kecil</v>
          </cell>
          <cell r="J437" t="str">
            <v>Lump Sump</v>
          </cell>
        </row>
        <row r="438">
          <cell r="C438" t="str">
            <v>- Sekop    =         3   buah</v>
          </cell>
        </row>
        <row r="440">
          <cell r="J440" t="str">
            <v>Berlanjut ke halaman berikut</v>
          </cell>
        </row>
        <row r="441">
          <cell r="A441" t="str">
            <v>ITEM PEMBAYARAN NO.</v>
          </cell>
          <cell r="D441" t="str">
            <v>:  3.2 (1)</v>
          </cell>
          <cell r="J441" t="str">
            <v>Analisa EI-321</v>
          </cell>
        </row>
        <row r="442">
          <cell r="A442" t="str">
            <v>JENIS PEKERJAAN</v>
          </cell>
          <cell r="D442" t="str">
            <v>:  Urugan Biasa</v>
          </cell>
        </row>
        <row r="443">
          <cell r="A443" t="str">
            <v>SATUAN PEMBAYARAN</v>
          </cell>
          <cell r="D443" t="str">
            <v>:  M3</v>
          </cell>
          <cell r="H443" t="str">
            <v xml:space="preserve">         URAIAN ANALISA HARGA SATUAN</v>
          </cell>
        </row>
        <row r="444">
          <cell r="J444" t="str">
            <v>Lanjutan</v>
          </cell>
        </row>
        <row r="446">
          <cell r="A446" t="str">
            <v>No.</v>
          </cell>
          <cell r="C446" t="str">
            <v>U R A I A N</v>
          </cell>
          <cell r="G446" t="str">
            <v>KODE</v>
          </cell>
          <cell r="H446" t="str">
            <v>KOEF.</v>
          </cell>
          <cell r="I446" t="str">
            <v>SATUAN</v>
          </cell>
          <cell r="J446" t="str">
            <v>KETERANGAN</v>
          </cell>
        </row>
        <row r="449">
          <cell r="A449" t="str">
            <v xml:space="preserve">   3.</v>
          </cell>
          <cell r="C449" t="str">
            <v>TENAGA</v>
          </cell>
        </row>
        <row r="450">
          <cell r="C450" t="str">
            <v>Produksi menentukan : WHELL LOADER</v>
          </cell>
          <cell r="G450" t="str">
            <v>Q1</v>
          </cell>
          <cell r="H450">
            <v>70.031300000000002</v>
          </cell>
          <cell r="I450" t="str">
            <v>M3/Jam</v>
          </cell>
        </row>
        <row r="451">
          <cell r="C451" t="str">
            <v>Produksi Galian / hari  =  Tk x Q1</v>
          </cell>
          <cell r="G451" t="str">
            <v>Qt</v>
          </cell>
          <cell r="H451">
            <v>490.21910000000003</v>
          </cell>
          <cell r="I451" t="str">
            <v>M3</v>
          </cell>
        </row>
        <row r="452">
          <cell r="C452" t="str">
            <v>Kebutuhan tenaga :</v>
          </cell>
        </row>
        <row r="453">
          <cell r="D453" t="str">
            <v>- Pekerja</v>
          </cell>
          <cell r="G453" t="str">
            <v>P</v>
          </cell>
          <cell r="H453">
            <v>4</v>
          </cell>
          <cell r="I453" t="str">
            <v>orang</v>
          </cell>
        </row>
        <row r="454">
          <cell r="D454" t="str">
            <v>- Mandor</v>
          </cell>
          <cell r="G454" t="str">
            <v>M</v>
          </cell>
          <cell r="H454">
            <v>1</v>
          </cell>
          <cell r="I454" t="str">
            <v>orang</v>
          </cell>
        </row>
        <row r="457">
          <cell r="C457" t="str">
            <v>Koefisien tenaga / M3   :</v>
          </cell>
        </row>
        <row r="458">
          <cell r="D458" t="str">
            <v>- Pekerja</v>
          </cell>
          <cell r="E458" t="str">
            <v>= (Tk x P) : Qt</v>
          </cell>
          <cell r="G458" t="str">
            <v>(L01)</v>
          </cell>
          <cell r="H458">
            <v>5.7099999999999998E-2</v>
          </cell>
          <cell r="I458" t="str">
            <v>Jam</v>
          </cell>
        </row>
        <row r="459">
          <cell r="D459" t="str">
            <v>- Mandor</v>
          </cell>
          <cell r="E459" t="str">
            <v>= (Tk x M) : Qt</v>
          </cell>
          <cell r="G459" t="str">
            <v>(L03)</v>
          </cell>
          <cell r="H459">
            <v>1.43E-2</v>
          </cell>
          <cell r="I459" t="str">
            <v>Jam</v>
          </cell>
        </row>
        <row r="462">
          <cell r="A462" t="str">
            <v>4.</v>
          </cell>
          <cell r="C462" t="str">
            <v>HARGA DASAR SATUAN UPAH, BAHAN DAN ALAT</v>
          </cell>
        </row>
        <row r="463">
          <cell r="C463" t="str">
            <v>Lihat lampiran.</v>
          </cell>
        </row>
        <row r="466">
          <cell r="A466" t="str">
            <v>5.</v>
          </cell>
          <cell r="C466" t="str">
            <v>ANALISA HARGA SATUAN PEKERJAAN</v>
          </cell>
        </row>
        <row r="467">
          <cell r="C467" t="str">
            <v>Lihat perhitungan dalam FORMULIR STANDAR UNTUK</v>
          </cell>
        </row>
        <row r="468">
          <cell r="C468" t="str">
            <v>PEREKEMAN ANALISA MASING-MASING HARGA</v>
          </cell>
        </row>
        <row r="469">
          <cell r="C469" t="str">
            <v>SATUAN.</v>
          </cell>
        </row>
        <row r="470">
          <cell r="C470" t="str">
            <v>Didapat Harga Satuan Pekerjaan :</v>
          </cell>
        </row>
        <row r="472">
          <cell r="C472" t="str">
            <v xml:space="preserve">Rp.  </v>
          </cell>
          <cell r="D472">
            <v>19925.18</v>
          </cell>
          <cell r="E472" t="str">
            <v xml:space="preserve"> / M3</v>
          </cell>
        </row>
        <row r="496">
          <cell r="A496" t="str">
            <v>ITEM PEMBAYARAN NO.</v>
          </cell>
          <cell r="D496" t="str">
            <v>:  3.2 (2)</v>
          </cell>
          <cell r="J496" t="str">
            <v>Analisa EI-322</v>
          </cell>
        </row>
        <row r="497">
          <cell r="A497" t="str">
            <v>JENIS PEKERJAAN</v>
          </cell>
          <cell r="D497" t="str">
            <v>:  Urugan Pilihan</v>
          </cell>
        </row>
        <row r="498">
          <cell r="A498" t="str">
            <v>SATUAN PEMBAYARAN</v>
          </cell>
          <cell r="D498" t="str">
            <v>:  M3</v>
          </cell>
          <cell r="H498" t="str">
            <v xml:space="preserve">         URAIAN ANALISA HARGA SATUAN</v>
          </cell>
        </row>
        <row r="501">
          <cell r="A501" t="str">
            <v>No.</v>
          </cell>
          <cell r="C501" t="str">
            <v>U R A I A N</v>
          </cell>
          <cell r="G501" t="str">
            <v>KODE</v>
          </cell>
          <cell r="H501" t="str">
            <v>KOEF.</v>
          </cell>
          <cell r="I501" t="str">
            <v>SATUAN</v>
          </cell>
          <cell r="J501" t="str">
            <v>KETERANGAN</v>
          </cell>
        </row>
        <row r="504">
          <cell r="A504" t="str">
            <v>I.</v>
          </cell>
          <cell r="C504" t="str">
            <v>ASUMSI</v>
          </cell>
        </row>
        <row r="505">
          <cell r="A505">
            <v>1</v>
          </cell>
          <cell r="C505" t="str">
            <v>Pekerjaan dilakukan secara mekanis</v>
          </cell>
        </row>
        <row r="506">
          <cell r="A506">
            <v>2</v>
          </cell>
          <cell r="C506" t="str">
            <v>Lokasi pekerjaan : Sekitar Jembatan</v>
          </cell>
        </row>
        <row r="507">
          <cell r="A507">
            <v>3</v>
          </cell>
          <cell r="C507" t="str">
            <v>Kondisi Jalan   :  sedang / baik</v>
          </cell>
        </row>
        <row r="508">
          <cell r="A508">
            <v>4</v>
          </cell>
          <cell r="C508" t="str">
            <v>Jam kerja efektif per-hari</v>
          </cell>
          <cell r="G508" t="str">
            <v>Tk</v>
          </cell>
          <cell r="H508">
            <v>7</v>
          </cell>
          <cell r="I508" t="str">
            <v>Jam</v>
          </cell>
        </row>
        <row r="509">
          <cell r="A509">
            <v>5</v>
          </cell>
          <cell r="C509" t="str">
            <v>Faktor pengembangan bahan</v>
          </cell>
          <cell r="G509" t="str">
            <v>Fk</v>
          </cell>
          <cell r="H509">
            <v>1.2</v>
          </cell>
          <cell r="I509" t="str">
            <v>-</v>
          </cell>
        </row>
        <row r="510">
          <cell r="A510">
            <v>6</v>
          </cell>
          <cell r="C510" t="str">
            <v>Tebal hamparan padat</v>
          </cell>
          <cell r="G510" t="str">
            <v>t</v>
          </cell>
          <cell r="H510">
            <v>0.15</v>
          </cell>
          <cell r="I510" t="str">
            <v>M</v>
          </cell>
        </row>
        <row r="511">
          <cell r="A511" t="str">
            <v>II.</v>
          </cell>
          <cell r="C511" t="str">
            <v>URUTAN KERJA</v>
          </cell>
        </row>
        <row r="512">
          <cell r="A512">
            <v>1</v>
          </cell>
          <cell r="C512" t="str">
            <v>Whell Loader memuat ke dalam Dump Truck</v>
          </cell>
        </row>
        <row r="513">
          <cell r="A513">
            <v>2</v>
          </cell>
          <cell r="C513" t="str">
            <v>Dump Truck mengangkut ke lapangan dengan jarak</v>
          </cell>
        </row>
        <row r="514">
          <cell r="C514" t="str">
            <v>quari ke lapangan</v>
          </cell>
          <cell r="G514" t="str">
            <v>L</v>
          </cell>
          <cell r="H514">
            <v>2</v>
          </cell>
          <cell r="I514" t="str">
            <v>Km</v>
          </cell>
        </row>
        <row r="515">
          <cell r="A515">
            <v>3</v>
          </cell>
          <cell r="C515" t="str">
            <v>Material dihampar dengan menggunakan Motor Grader</v>
          </cell>
        </row>
        <row r="516">
          <cell r="A516">
            <v>4</v>
          </cell>
          <cell r="C516" t="str">
            <v>Hamparan material disiram air dengan Watertank Truck</v>
          </cell>
        </row>
        <row r="517">
          <cell r="C517" t="str">
            <v>(sebelum pelaksanaan pemadatan) dan dipadatkan</v>
          </cell>
        </row>
        <row r="518">
          <cell r="C518" t="str">
            <v>dengan menggunakan Vibro Roller</v>
          </cell>
        </row>
        <row r="519">
          <cell r="A519">
            <v>5</v>
          </cell>
          <cell r="C519" t="str">
            <v>Selama pemadatan sekelompok pekerja  akan</v>
          </cell>
        </row>
        <row r="520">
          <cell r="C520" t="str">
            <v>merapikan tepi hamparan dan level permukaan</v>
          </cell>
        </row>
        <row r="521">
          <cell r="C521" t="str">
            <v>dengan menggunakan alat bantu</v>
          </cell>
        </row>
        <row r="523">
          <cell r="A523" t="str">
            <v>III.</v>
          </cell>
          <cell r="C523" t="str">
            <v>PEMAKAIAN BAHAN, ALAT DAN TENAGA</v>
          </cell>
        </row>
        <row r="524">
          <cell r="A524" t="str">
            <v xml:space="preserve">   1.</v>
          </cell>
          <cell r="C524" t="str">
            <v>BAHAN</v>
          </cell>
        </row>
        <row r="525">
          <cell r="A525" t="str">
            <v>1.a.</v>
          </cell>
          <cell r="C525" t="str">
            <v>Material pilihan</v>
          </cell>
          <cell r="D525" t="str">
            <v xml:space="preserve"> =  1 x  Fk</v>
          </cell>
          <cell r="G525" t="str">
            <v>(M09)</v>
          </cell>
          <cell r="H525">
            <v>1.2</v>
          </cell>
          <cell r="I525" t="str">
            <v>M3</v>
          </cell>
        </row>
        <row r="526">
          <cell r="A526" t="str">
            <v xml:space="preserve">   2.</v>
          </cell>
          <cell r="C526" t="str">
            <v>ALAT</v>
          </cell>
        </row>
        <row r="527">
          <cell r="A527" t="str">
            <v>2.a.</v>
          </cell>
          <cell r="C527" t="str">
            <v>WHELL  LOADER</v>
          </cell>
          <cell r="G527" t="str">
            <v>(E15)</v>
          </cell>
        </row>
        <row r="528">
          <cell r="C528" t="str">
            <v>Kapasitas  Bucket</v>
          </cell>
          <cell r="G528" t="str">
            <v>V</v>
          </cell>
          <cell r="H528">
            <v>1.5</v>
          </cell>
          <cell r="I528" t="str">
            <v>M3</v>
          </cell>
        </row>
        <row r="529">
          <cell r="C529" t="str">
            <v>Faktor Bucket</v>
          </cell>
          <cell r="G529" t="str">
            <v>Fb</v>
          </cell>
          <cell r="H529">
            <v>0.9</v>
          </cell>
          <cell r="I529" t="str">
            <v>-</v>
          </cell>
        </row>
        <row r="530">
          <cell r="C530" t="str">
            <v>Faktor Efisiensi Alat</v>
          </cell>
          <cell r="G530" t="str">
            <v>Fa</v>
          </cell>
          <cell r="H530">
            <v>0.83</v>
          </cell>
          <cell r="I530" t="str">
            <v>-</v>
          </cell>
        </row>
        <row r="531">
          <cell r="C531" t="str">
            <v>Waktu sklus</v>
          </cell>
          <cell r="G531" t="str">
            <v>Ts1</v>
          </cell>
          <cell r="I531" t="str">
            <v>menit</v>
          </cell>
        </row>
        <row r="532">
          <cell r="C532" t="str">
            <v>- Muat</v>
          </cell>
          <cell r="G532" t="str">
            <v>T1</v>
          </cell>
          <cell r="H532">
            <v>0.4</v>
          </cell>
          <cell r="I532" t="str">
            <v>menit</v>
          </cell>
        </row>
        <row r="533">
          <cell r="C533" t="str">
            <v>- Lain-lain</v>
          </cell>
          <cell r="G533" t="str">
            <v>T2</v>
          </cell>
          <cell r="H533">
            <v>0.4</v>
          </cell>
          <cell r="I533" t="str">
            <v>menit</v>
          </cell>
        </row>
        <row r="534">
          <cell r="G534" t="str">
            <v>Ts1</v>
          </cell>
          <cell r="H534">
            <v>0.8</v>
          </cell>
          <cell r="I534" t="str">
            <v>menit</v>
          </cell>
        </row>
        <row r="535">
          <cell r="C535" t="str">
            <v>Kapasitas Produksi / Jam =</v>
          </cell>
          <cell r="E535" t="str">
            <v>V  x  Fb x Fa x 60</v>
          </cell>
          <cell r="G535" t="str">
            <v>Q1</v>
          </cell>
          <cell r="H535">
            <v>70.031300000000002</v>
          </cell>
          <cell r="I535" t="str">
            <v>M3</v>
          </cell>
        </row>
        <row r="536">
          <cell r="E536" t="str">
            <v xml:space="preserve">      Fk x Ts1</v>
          </cell>
        </row>
        <row r="537">
          <cell r="C537" t="str">
            <v>Koefisienalat / M3   =         1 / Q1</v>
          </cell>
          <cell r="D537" t="str">
            <v xml:space="preserve">  =  1 : Q1</v>
          </cell>
          <cell r="G537" t="str">
            <v>(E15)</v>
          </cell>
          <cell r="H537">
            <v>1.43E-2</v>
          </cell>
          <cell r="I537" t="str">
            <v>Jam</v>
          </cell>
        </row>
        <row r="539">
          <cell r="A539" t="str">
            <v xml:space="preserve">   2.b.</v>
          </cell>
          <cell r="C539" t="str">
            <v>DUMP TRUCK</v>
          </cell>
          <cell r="G539" t="str">
            <v>(E08)</v>
          </cell>
        </row>
        <row r="540">
          <cell r="C540" t="str">
            <v>Kapasitas bak</v>
          </cell>
          <cell r="G540" t="str">
            <v>V</v>
          </cell>
          <cell r="H540">
            <v>4</v>
          </cell>
          <cell r="I540" t="str">
            <v>M3</v>
          </cell>
        </row>
        <row r="541">
          <cell r="C541" t="str">
            <v>Faktor  efisiensi alat</v>
          </cell>
          <cell r="G541" t="str">
            <v>Fa</v>
          </cell>
          <cell r="H541">
            <v>0.83</v>
          </cell>
          <cell r="I541" t="str">
            <v>-</v>
          </cell>
        </row>
        <row r="542">
          <cell r="C542" t="str">
            <v>Kecepatan rata-rata bermuatan</v>
          </cell>
          <cell r="G542" t="str">
            <v>v1</v>
          </cell>
          <cell r="H542">
            <v>40</v>
          </cell>
          <cell r="I542" t="str">
            <v>Km / Jam</v>
          </cell>
        </row>
        <row r="543">
          <cell r="C543" t="str">
            <v>Kecepatan rata-rata kosong</v>
          </cell>
          <cell r="G543" t="str">
            <v>v2</v>
          </cell>
          <cell r="H543">
            <v>60</v>
          </cell>
          <cell r="I543" t="str">
            <v>Km / Jam</v>
          </cell>
        </row>
        <row r="544">
          <cell r="C544" t="str">
            <v>Waktusiklus :</v>
          </cell>
          <cell r="G544" t="str">
            <v>Ts2</v>
          </cell>
        </row>
        <row r="545">
          <cell r="C545" t="str">
            <v>-  Waktu tempuh isi   = (L : v1) x 60</v>
          </cell>
          <cell r="G545" t="str">
            <v>T1</v>
          </cell>
          <cell r="H545">
            <v>3</v>
          </cell>
          <cell r="I545" t="str">
            <v>menit</v>
          </cell>
        </row>
        <row r="546">
          <cell r="C546" t="str">
            <v>-  Waktu tempuh kosong   = (L : v2) x 60</v>
          </cell>
          <cell r="G546" t="str">
            <v>T2</v>
          </cell>
          <cell r="H546">
            <v>2</v>
          </cell>
          <cell r="I546" t="str">
            <v>menit</v>
          </cell>
        </row>
        <row r="547">
          <cell r="C547" t="str">
            <v>- Lain-lain</v>
          </cell>
          <cell r="G547" t="str">
            <v>T3</v>
          </cell>
          <cell r="H547">
            <v>3</v>
          </cell>
          <cell r="I547" t="str">
            <v>menit</v>
          </cell>
        </row>
        <row r="548">
          <cell r="G548" t="str">
            <v>Ts2</v>
          </cell>
          <cell r="H548">
            <v>8</v>
          </cell>
          <cell r="I548" t="str">
            <v>menit</v>
          </cell>
        </row>
        <row r="550">
          <cell r="J550" t="str">
            <v>Berlanjut ke halaman berikut</v>
          </cell>
        </row>
        <row r="551">
          <cell r="A551" t="str">
            <v>ITEM PEMBAYARAN NO.</v>
          </cell>
          <cell r="D551" t="str">
            <v>:  3.2 (2)</v>
          </cell>
          <cell r="J551" t="str">
            <v>Analisa EI-322</v>
          </cell>
        </row>
        <row r="552">
          <cell r="A552" t="str">
            <v>JENIS PEKERJAAN</v>
          </cell>
          <cell r="D552" t="str">
            <v>:  Urugan Pilihan</v>
          </cell>
        </row>
        <row r="553">
          <cell r="A553" t="str">
            <v>SATUAN PEMBAYARAN</v>
          </cell>
          <cell r="D553" t="str">
            <v>:  M3</v>
          </cell>
          <cell r="H553" t="str">
            <v xml:space="preserve">         URAIAN ANALISA HARGA SATUAN</v>
          </cell>
        </row>
        <row r="554">
          <cell r="J554" t="str">
            <v>Lanjutan</v>
          </cell>
        </row>
        <row r="556">
          <cell r="A556" t="str">
            <v>No.</v>
          </cell>
          <cell r="C556" t="str">
            <v>U R A I A N</v>
          </cell>
          <cell r="G556" t="str">
            <v>KODE</v>
          </cell>
          <cell r="H556" t="str">
            <v>KOEF.</v>
          </cell>
          <cell r="I556" t="str">
            <v>SATUAN</v>
          </cell>
          <cell r="J556" t="str">
            <v>KETERANGAN</v>
          </cell>
        </row>
        <row r="559">
          <cell r="C559" t="str">
            <v>Kapasitas Produksi / Jam   =</v>
          </cell>
          <cell r="E559" t="str">
            <v>V x Fa x 60</v>
          </cell>
          <cell r="G559" t="str">
            <v>Q2</v>
          </cell>
          <cell r="H559">
            <v>20.75</v>
          </cell>
          <cell r="I559" t="str">
            <v>M3</v>
          </cell>
        </row>
        <row r="560">
          <cell r="E560" t="str">
            <v xml:space="preserve">    Fk x Ts2</v>
          </cell>
        </row>
        <row r="561">
          <cell r="C561" t="str">
            <v>Koefisien Alat / m3</v>
          </cell>
          <cell r="D561" t="str">
            <v xml:space="preserve"> =  1  :  Q2</v>
          </cell>
          <cell r="G561" t="str">
            <v>(E08)</v>
          </cell>
          <cell r="H561">
            <v>4.82E-2</v>
          </cell>
          <cell r="I561" t="str">
            <v>Jam</v>
          </cell>
        </row>
        <row r="563">
          <cell r="A563" t="str">
            <v>2.c.</v>
          </cell>
          <cell r="C563" t="str">
            <v>MOTOR GRADER</v>
          </cell>
          <cell r="G563" t="str">
            <v>(E13)</v>
          </cell>
        </row>
        <row r="564">
          <cell r="C564" t="str">
            <v>Panjang hamparan</v>
          </cell>
          <cell r="G564" t="str">
            <v>Lh</v>
          </cell>
          <cell r="H564">
            <v>50</v>
          </cell>
          <cell r="I564" t="str">
            <v>m</v>
          </cell>
        </row>
        <row r="565">
          <cell r="C565" t="str">
            <v>Lebar Efektif kerja Blade</v>
          </cell>
          <cell r="G565" t="str">
            <v>b</v>
          </cell>
          <cell r="H565">
            <v>2.4</v>
          </cell>
          <cell r="I565" t="str">
            <v>m</v>
          </cell>
        </row>
        <row r="566">
          <cell r="C566" t="str">
            <v>Faktor Efisiensi Alat</v>
          </cell>
          <cell r="G566" t="str">
            <v>Fa</v>
          </cell>
          <cell r="H566">
            <v>0.83</v>
          </cell>
          <cell r="I566" t="str">
            <v>-</v>
          </cell>
        </row>
        <row r="567">
          <cell r="C567" t="str">
            <v>Kecepatan rata-rata alat</v>
          </cell>
          <cell r="G567" t="str">
            <v>v</v>
          </cell>
          <cell r="H567">
            <v>4</v>
          </cell>
          <cell r="I567" t="str">
            <v>Km / Jam</v>
          </cell>
        </row>
        <row r="568">
          <cell r="C568" t="str">
            <v>Jumlah lintasan</v>
          </cell>
          <cell r="G568" t="str">
            <v>n</v>
          </cell>
          <cell r="H568">
            <v>6</v>
          </cell>
          <cell r="I568" t="str">
            <v>lintasan</v>
          </cell>
        </row>
        <row r="569">
          <cell r="C569" t="str">
            <v>Waktu siklus</v>
          </cell>
          <cell r="G569" t="str">
            <v>Ts3</v>
          </cell>
        </row>
        <row r="570">
          <cell r="C570" t="str">
            <v>- Perataan 1 kali lintasan    = Lh : (v x 1000) x 60</v>
          </cell>
          <cell r="G570" t="str">
            <v>T1</v>
          </cell>
          <cell r="H570">
            <v>0.75</v>
          </cell>
          <cell r="I570" t="str">
            <v>menit</v>
          </cell>
        </row>
        <row r="571">
          <cell r="C571" t="str">
            <v>- Lain-lain</v>
          </cell>
          <cell r="G571" t="str">
            <v>T2</v>
          </cell>
          <cell r="H571">
            <v>1</v>
          </cell>
          <cell r="I571" t="str">
            <v>menit</v>
          </cell>
        </row>
        <row r="572">
          <cell r="G572" t="str">
            <v>Ts3</v>
          </cell>
          <cell r="H572">
            <v>1.75</v>
          </cell>
          <cell r="I572" t="str">
            <v>menit</v>
          </cell>
        </row>
        <row r="574">
          <cell r="C574" t="str">
            <v>Kapasitas Produksi / Jam   =</v>
          </cell>
          <cell r="E574" t="str">
            <v>Lh x b x t x Fa x 60</v>
          </cell>
          <cell r="G574" t="str">
            <v>Q3</v>
          </cell>
          <cell r="H574">
            <v>85.371399999999994</v>
          </cell>
          <cell r="I574" t="str">
            <v xml:space="preserve">M3 / Jam </v>
          </cell>
        </row>
        <row r="575">
          <cell r="E575" t="str">
            <v xml:space="preserve">      n x Ts3</v>
          </cell>
        </row>
        <row r="576">
          <cell r="C576" t="str">
            <v>Koefisien Alat / m3</v>
          </cell>
          <cell r="D576" t="str">
            <v xml:space="preserve"> =  1  :  Q3</v>
          </cell>
          <cell r="G576" t="str">
            <v>(E13)</v>
          </cell>
          <cell r="H576">
            <v>1.17E-2</v>
          </cell>
          <cell r="I576" t="str">
            <v>Jam</v>
          </cell>
        </row>
        <row r="578">
          <cell r="A578" t="str">
            <v>2.d.</v>
          </cell>
          <cell r="C578" t="str">
            <v>VIBRATOR ROLLER</v>
          </cell>
          <cell r="G578" t="str">
            <v>(E19)</v>
          </cell>
        </row>
        <row r="579">
          <cell r="C579" t="str">
            <v>Kecepatan rata-rata alat</v>
          </cell>
          <cell r="G579" t="str">
            <v>v</v>
          </cell>
          <cell r="H579">
            <v>2.5</v>
          </cell>
          <cell r="I579" t="str">
            <v>Km / jam</v>
          </cell>
        </row>
        <row r="580">
          <cell r="C580" t="str">
            <v>Lebar efektif pemadatan</v>
          </cell>
          <cell r="G580" t="str">
            <v>b</v>
          </cell>
          <cell r="H580">
            <v>1.2</v>
          </cell>
          <cell r="I580" t="str">
            <v>M</v>
          </cell>
        </row>
        <row r="581">
          <cell r="C581" t="str">
            <v>Jumlah lintasan</v>
          </cell>
          <cell r="G581" t="str">
            <v>n</v>
          </cell>
          <cell r="H581">
            <v>8</v>
          </cell>
          <cell r="I581" t="str">
            <v>lintasan</v>
          </cell>
        </row>
        <row r="582">
          <cell r="C582" t="str">
            <v>Faktor efisiensi alat</v>
          </cell>
          <cell r="G582" t="str">
            <v>Fa</v>
          </cell>
          <cell r="H582">
            <v>0.83</v>
          </cell>
          <cell r="I582" t="str">
            <v>-</v>
          </cell>
        </row>
        <row r="584">
          <cell r="C584" t="str">
            <v>Kapasitas Prod./Jam   =</v>
          </cell>
          <cell r="D584" t="str">
            <v>(v x 1000) x b x t x Fa</v>
          </cell>
          <cell r="G584" t="str">
            <v>Q4</v>
          </cell>
          <cell r="H584">
            <v>46.6875</v>
          </cell>
          <cell r="I584" t="str">
            <v>M3</v>
          </cell>
        </row>
        <row r="585">
          <cell r="D585" t="str">
            <v>n</v>
          </cell>
        </row>
        <row r="587">
          <cell r="C587" t="str">
            <v>Koefisien Alat / m3</v>
          </cell>
          <cell r="D587" t="str">
            <v xml:space="preserve"> =  1  :  Q4</v>
          </cell>
          <cell r="G587" t="str">
            <v>(E19)</v>
          </cell>
          <cell r="H587">
            <v>2.1399999999999999E-2</v>
          </cell>
          <cell r="I587" t="str">
            <v>Jam</v>
          </cell>
        </row>
        <row r="590">
          <cell r="A590" t="str">
            <v>2.e.</v>
          </cell>
          <cell r="C590" t="str">
            <v>WATER TANK TRUCK</v>
          </cell>
          <cell r="G590" t="str">
            <v>(E23)</v>
          </cell>
        </row>
        <row r="591">
          <cell r="C591" t="str">
            <v>Volume tangki air</v>
          </cell>
          <cell r="G591" t="str">
            <v>V</v>
          </cell>
          <cell r="H591">
            <v>4</v>
          </cell>
          <cell r="I591" t="str">
            <v>M3</v>
          </cell>
        </row>
        <row r="592">
          <cell r="C592" t="str">
            <v>Kebutuhan air / M3 material padat</v>
          </cell>
          <cell r="G592" t="str">
            <v>Wc</v>
          </cell>
          <cell r="H592">
            <v>7.0000000000000007E-2</v>
          </cell>
          <cell r="I592" t="str">
            <v>M3</v>
          </cell>
        </row>
        <row r="593">
          <cell r="C593" t="str">
            <v>Pengisian Tangki / jam</v>
          </cell>
          <cell r="G593" t="str">
            <v>n</v>
          </cell>
          <cell r="H593">
            <v>1</v>
          </cell>
          <cell r="I593" t="str">
            <v>kali</v>
          </cell>
        </row>
        <row r="594">
          <cell r="C594" t="str">
            <v>Faktor efisiensi alat</v>
          </cell>
          <cell r="G594" t="str">
            <v>Fa</v>
          </cell>
          <cell r="H594">
            <v>0.83</v>
          </cell>
          <cell r="I594" t="str">
            <v>-</v>
          </cell>
        </row>
        <row r="596">
          <cell r="C596" t="str">
            <v>Kapasitas Produksi / Jam   =</v>
          </cell>
          <cell r="E596" t="str">
            <v>V  x  n x Fa</v>
          </cell>
          <cell r="G596" t="str">
            <v>Q5</v>
          </cell>
          <cell r="H596">
            <v>47.428600000000003</v>
          </cell>
          <cell r="I596" t="str">
            <v>M3</v>
          </cell>
        </row>
        <row r="597">
          <cell r="E597" t="str">
            <v xml:space="preserve">     Wc</v>
          </cell>
        </row>
        <row r="599">
          <cell r="C599" t="str">
            <v>Koefisien Alat / m3</v>
          </cell>
          <cell r="D599" t="str">
            <v xml:space="preserve"> =  1  :  Q5</v>
          </cell>
          <cell r="G599" t="str">
            <v>(E23)</v>
          </cell>
          <cell r="H599">
            <v>2.1100000000000001E-2</v>
          </cell>
          <cell r="I599" t="str">
            <v>Jam</v>
          </cell>
        </row>
        <row r="601">
          <cell r="A601" t="str">
            <v>2.f.</v>
          </cell>
          <cell r="C601" t="str">
            <v>ALAT  BANTU</v>
          </cell>
        </row>
        <row r="602">
          <cell r="C602" t="str">
            <v>Diperlukan alat-alat bantu kecil</v>
          </cell>
          <cell r="J602" t="str">
            <v>Lump Sump</v>
          </cell>
        </row>
        <row r="603">
          <cell r="C603" t="str">
            <v>- Sekop    =         3   buah</v>
          </cell>
        </row>
        <row r="605">
          <cell r="J605" t="str">
            <v>Berlanjut ke halaman berikut</v>
          </cell>
        </row>
        <row r="606">
          <cell r="A606" t="str">
            <v>ITEM PEMBAYARAN NO.</v>
          </cell>
          <cell r="D606" t="str">
            <v>:  3.2 (2)</v>
          </cell>
          <cell r="J606" t="str">
            <v>Analisa EI-322</v>
          </cell>
        </row>
        <row r="607">
          <cell r="A607" t="str">
            <v>JENIS PEKERJAAN</v>
          </cell>
          <cell r="D607" t="str">
            <v>:  Urugan Pilihan</v>
          </cell>
        </row>
        <row r="608">
          <cell r="A608" t="str">
            <v>SATUAN PEMBAYARAN</v>
          </cell>
          <cell r="D608" t="str">
            <v>:  M3</v>
          </cell>
          <cell r="H608" t="str">
            <v xml:space="preserve">         URAIAN ANALISA HARGA SATUAN</v>
          </cell>
        </row>
        <row r="609">
          <cell r="J609" t="str">
            <v>Lanjutan</v>
          </cell>
        </row>
        <row r="611">
          <cell r="A611" t="str">
            <v>No.</v>
          </cell>
          <cell r="C611" t="str">
            <v>U R A I A N</v>
          </cell>
          <cell r="G611" t="str">
            <v>KODE</v>
          </cell>
          <cell r="H611" t="str">
            <v>KOEF.</v>
          </cell>
          <cell r="I611" t="str">
            <v>SATUAN</v>
          </cell>
          <cell r="J611" t="str">
            <v>KETERANGAN</v>
          </cell>
        </row>
        <row r="614">
          <cell r="A614" t="str">
            <v xml:space="preserve">   3.</v>
          </cell>
          <cell r="C614" t="str">
            <v>TENAGA</v>
          </cell>
        </row>
        <row r="615">
          <cell r="C615" t="str">
            <v>Produksi menentukan : WHELL LOADER</v>
          </cell>
          <cell r="G615" t="str">
            <v>Q1</v>
          </cell>
          <cell r="H615">
            <v>70.031300000000002</v>
          </cell>
          <cell r="I615" t="str">
            <v>M3/Jam</v>
          </cell>
        </row>
        <row r="616">
          <cell r="C616" t="str">
            <v>Produksi Galian / hari  =  Tk x Q1</v>
          </cell>
          <cell r="G616" t="str">
            <v>Qt</v>
          </cell>
          <cell r="H616">
            <v>490.21910000000003</v>
          </cell>
          <cell r="I616" t="str">
            <v>M3</v>
          </cell>
        </row>
        <row r="617">
          <cell r="C617" t="str">
            <v>Kebutuhan tenaga :</v>
          </cell>
        </row>
        <row r="618">
          <cell r="D618" t="str">
            <v>- Pekerja</v>
          </cell>
          <cell r="G618" t="str">
            <v>P</v>
          </cell>
          <cell r="H618">
            <v>4</v>
          </cell>
          <cell r="I618" t="str">
            <v>orang</v>
          </cell>
        </row>
        <row r="619">
          <cell r="D619" t="str">
            <v>- Mandor</v>
          </cell>
          <cell r="G619" t="str">
            <v>M</v>
          </cell>
          <cell r="H619">
            <v>1</v>
          </cell>
          <cell r="I619" t="str">
            <v>orang</v>
          </cell>
        </row>
        <row r="622">
          <cell r="C622" t="str">
            <v>Koefisien tenaga / M3   :</v>
          </cell>
        </row>
        <row r="623">
          <cell r="D623" t="str">
            <v>- Pekerja</v>
          </cell>
          <cell r="E623" t="str">
            <v>= (Tk x P) : Qt</v>
          </cell>
          <cell r="G623" t="str">
            <v>(L01)</v>
          </cell>
          <cell r="H623">
            <v>5.7099999999999998E-2</v>
          </cell>
          <cell r="I623" t="str">
            <v>Jam</v>
          </cell>
        </row>
        <row r="624">
          <cell r="D624" t="str">
            <v>- Mandor</v>
          </cell>
          <cell r="E624" t="str">
            <v>= (Tk x M) : Qt</v>
          </cell>
          <cell r="G624" t="str">
            <v>(L03)</v>
          </cell>
          <cell r="H624">
            <v>1.43E-2</v>
          </cell>
          <cell r="I624" t="str">
            <v>Jam</v>
          </cell>
        </row>
        <row r="627">
          <cell r="A627" t="str">
            <v>4.</v>
          </cell>
          <cell r="C627" t="str">
            <v>HARGA DASAR SATUAN UPAH, BAHAN DAN ALAT</v>
          </cell>
        </row>
        <row r="628">
          <cell r="C628" t="str">
            <v>Lihat lampiran.</v>
          </cell>
        </row>
        <row r="631">
          <cell r="A631" t="str">
            <v>5.</v>
          </cell>
          <cell r="C631" t="str">
            <v>ANALISA HARGA SATUAN PEKERJAAN</v>
          </cell>
        </row>
        <row r="632">
          <cell r="C632" t="str">
            <v>Lihat perhitungan dalam FORMULIR STANDAR UNTUK</v>
          </cell>
        </row>
        <row r="633">
          <cell r="C633" t="str">
            <v>PEREKEMAN ANALISA MASING-MASING HARGA</v>
          </cell>
        </row>
        <row r="634">
          <cell r="C634" t="str">
            <v>SATUAN.</v>
          </cell>
        </row>
        <row r="635">
          <cell r="C635" t="str">
            <v>Didapat Harga Satuan Pekerjaan :</v>
          </cell>
        </row>
        <row r="637">
          <cell r="C637" t="str">
            <v xml:space="preserve">Rp.  </v>
          </cell>
          <cell r="D637">
            <v>27891.64</v>
          </cell>
          <cell r="E637" t="str">
            <v xml:space="preserve"> / M3.</v>
          </cell>
        </row>
        <row r="661">
          <cell r="A661" t="str">
            <v>ITEM PEMBAYARAN NO.</v>
          </cell>
          <cell r="D661" t="str">
            <v>:  3.3</v>
          </cell>
          <cell r="J661" t="str">
            <v>Analisa EI-33</v>
          </cell>
        </row>
        <row r="662">
          <cell r="A662" t="str">
            <v>JENIS PEKERJAAN</v>
          </cell>
          <cell r="D662" t="str">
            <v>:  Penyiapan Badan Jalan</v>
          </cell>
        </row>
        <row r="663">
          <cell r="A663" t="str">
            <v>SATUAN PEMBAYARAN</v>
          </cell>
          <cell r="D663" t="str">
            <v>:  M2</v>
          </cell>
          <cell r="H663" t="str">
            <v xml:space="preserve">         URAIAN ANALISA HARGA SATUAN</v>
          </cell>
        </row>
        <row r="666">
          <cell r="A666" t="str">
            <v>No.</v>
          </cell>
          <cell r="C666" t="str">
            <v>U R A I A N</v>
          </cell>
          <cell r="G666" t="str">
            <v>KODE</v>
          </cell>
          <cell r="H666" t="str">
            <v>KOEF.</v>
          </cell>
          <cell r="I666" t="str">
            <v>SATUAN</v>
          </cell>
          <cell r="J666" t="str">
            <v>KETERANGAN</v>
          </cell>
        </row>
        <row r="669">
          <cell r="A669" t="str">
            <v>I.</v>
          </cell>
          <cell r="C669" t="str">
            <v>ASUMSI</v>
          </cell>
        </row>
        <row r="670">
          <cell r="A670">
            <v>1</v>
          </cell>
          <cell r="C670" t="str">
            <v>Pekerjaan dilaksanakan hanya pada tanah  galian</v>
          </cell>
        </row>
        <row r="671">
          <cell r="A671">
            <v>2</v>
          </cell>
          <cell r="C671" t="str">
            <v>Pekerjaan dilakukan secara mekanis</v>
          </cell>
        </row>
        <row r="672">
          <cell r="A672">
            <v>3</v>
          </cell>
          <cell r="C672" t="str">
            <v>Lokasi pekerjaan : Sekitar Jembatan</v>
          </cell>
        </row>
        <row r="673">
          <cell r="A673">
            <v>4</v>
          </cell>
          <cell r="C673" t="str">
            <v>Kondisi Jalan   : jelek / belum padat</v>
          </cell>
        </row>
        <row r="674">
          <cell r="A674">
            <v>5</v>
          </cell>
          <cell r="C674" t="str">
            <v>Jam kerja efektif per-hari</v>
          </cell>
          <cell r="G674" t="str">
            <v>Tk</v>
          </cell>
          <cell r="H674">
            <v>7</v>
          </cell>
          <cell r="I674" t="str">
            <v>Jam</v>
          </cell>
        </row>
        <row r="677">
          <cell r="A677" t="str">
            <v>II.</v>
          </cell>
          <cell r="C677" t="str">
            <v>URUTAN KERJA</v>
          </cell>
        </row>
        <row r="678">
          <cell r="A678">
            <v>1</v>
          </cell>
          <cell r="C678" t="str">
            <v>Motor  Grader meratakanpermukaan hasil galian</v>
          </cell>
        </row>
        <row r="679">
          <cell r="A679">
            <v>2</v>
          </cell>
          <cell r="C679" t="str">
            <v>Vibro Roller memadatkan permukaan yang telah</v>
          </cell>
        </row>
        <row r="680">
          <cell r="C680" t="str">
            <v>diratakan oleh Motor Grader</v>
          </cell>
        </row>
        <row r="681">
          <cell r="A681">
            <v>3</v>
          </cell>
          <cell r="C681" t="str">
            <v>Sekelompok pekerja akan membantu meratakan</v>
          </cell>
        </row>
        <row r="682">
          <cell r="C682" t="str">
            <v>badan jalan dengan alat bantu</v>
          </cell>
        </row>
        <row r="684">
          <cell r="A684" t="str">
            <v>III.</v>
          </cell>
          <cell r="C684" t="str">
            <v>PEMAKAIAN BAHAN, ALAT DAN TENAGA</v>
          </cell>
        </row>
        <row r="685">
          <cell r="A685" t="str">
            <v xml:space="preserve">   1.</v>
          </cell>
          <cell r="C685" t="str">
            <v>BAHAN</v>
          </cell>
        </row>
        <row r="686">
          <cell r="C686" t="str">
            <v>Tidak diperlukan bahan / material</v>
          </cell>
        </row>
        <row r="688">
          <cell r="A688" t="str">
            <v xml:space="preserve">   2.</v>
          </cell>
          <cell r="C688" t="str">
            <v>ALAT</v>
          </cell>
        </row>
        <row r="689">
          <cell r="A689" t="str">
            <v>2.a.</v>
          </cell>
          <cell r="C689" t="str">
            <v>MOTOR GRADER</v>
          </cell>
          <cell r="G689" t="str">
            <v>(E13)</v>
          </cell>
        </row>
        <row r="690">
          <cell r="C690" t="str">
            <v>Panjang operasi grader sekali jalan</v>
          </cell>
          <cell r="G690" t="str">
            <v>Lh</v>
          </cell>
          <cell r="H690">
            <v>50</v>
          </cell>
          <cell r="I690" t="str">
            <v>M</v>
          </cell>
        </row>
        <row r="691">
          <cell r="C691" t="str">
            <v>Lebar Efektif kerja Blade</v>
          </cell>
          <cell r="G691" t="str">
            <v>b</v>
          </cell>
          <cell r="H691">
            <v>2.4</v>
          </cell>
          <cell r="I691" t="str">
            <v>M</v>
          </cell>
        </row>
        <row r="692">
          <cell r="C692" t="str">
            <v>Faktor Efisiensi Alat</v>
          </cell>
          <cell r="G692" t="str">
            <v>Fa</v>
          </cell>
          <cell r="H692">
            <v>0.83</v>
          </cell>
          <cell r="I692" t="str">
            <v>-</v>
          </cell>
        </row>
        <row r="693">
          <cell r="C693" t="str">
            <v>Kecepatan rata-rata alat</v>
          </cell>
          <cell r="G693" t="str">
            <v>v</v>
          </cell>
          <cell r="H693">
            <v>2</v>
          </cell>
          <cell r="I693" t="str">
            <v>Km / Jam</v>
          </cell>
        </row>
        <row r="694">
          <cell r="C694" t="str">
            <v>Jumlah lintasan</v>
          </cell>
          <cell r="G694" t="str">
            <v>n</v>
          </cell>
          <cell r="H694">
            <v>6</v>
          </cell>
          <cell r="I694" t="str">
            <v>lintasan</v>
          </cell>
        </row>
        <row r="695">
          <cell r="C695" t="str">
            <v>Waktu siklus</v>
          </cell>
          <cell r="G695" t="str">
            <v>Ts1</v>
          </cell>
        </row>
        <row r="696">
          <cell r="C696" t="str">
            <v>- Perataan 1 kali lintasan    = Lh : (v x 1000) x 60</v>
          </cell>
          <cell r="G696" t="str">
            <v>T1</v>
          </cell>
          <cell r="H696">
            <v>1.5</v>
          </cell>
          <cell r="I696" t="str">
            <v>menit</v>
          </cell>
        </row>
        <row r="697">
          <cell r="C697" t="str">
            <v>- Lain-lain</v>
          </cell>
          <cell r="G697" t="str">
            <v>T2</v>
          </cell>
          <cell r="H697">
            <v>1</v>
          </cell>
          <cell r="I697" t="str">
            <v>menit</v>
          </cell>
        </row>
        <row r="698">
          <cell r="G698" t="str">
            <v>Ts1</v>
          </cell>
          <cell r="H698">
            <v>2.5</v>
          </cell>
          <cell r="I698" t="str">
            <v>menit</v>
          </cell>
        </row>
        <row r="700">
          <cell r="C700" t="str">
            <v>Kapasitas Produksi / Jam   =</v>
          </cell>
          <cell r="E700" t="str">
            <v>Lh x b x Fa x 60</v>
          </cell>
          <cell r="G700" t="str">
            <v>Q1</v>
          </cell>
          <cell r="H700">
            <v>398.4</v>
          </cell>
          <cell r="I700" t="str">
            <v>M2</v>
          </cell>
        </row>
        <row r="701">
          <cell r="E701" t="str">
            <v xml:space="preserve">      n x Ts</v>
          </cell>
        </row>
        <row r="703">
          <cell r="C703" t="str">
            <v>Koefisien Alat / m2</v>
          </cell>
          <cell r="D703" t="str">
            <v xml:space="preserve"> =  1  :  Q1</v>
          </cell>
          <cell r="G703" t="str">
            <v>(E13)</v>
          </cell>
          <cell r="H703">
            <v>2.5000000000000001E-3</v>
          </cell>
          <cell r="I703" t="str">
            <v>Jam</v>
          </cell>
        </row>
        <row r="705">
          <cell r="A705" t="str">
            <v>2.b.</v>
          </cell>
          <cell r="C705" t="str">
            <v>VIBRATOR ROLLER</v>
          </cell>
          <cell r="G705" t="str">
            <v>(E19)</v>
          </cell>
        </row>
        <row r="706">
          <cell r="C706" t="str">
            <v>Kecepatan rata-rata alat</v>
          </cell>
          <cell r="G706" t="str">
            <v>v</v>
          </cell>
          <cell r="H706">
            <v>2</v>
          </cell>
          <cell r="I706" t="str">
            <v>Km / jam</v>
          </cell>
        </row>
        <row r="707">
          <cell r="C707" t="str">
            <v>Lebar efektif pemadatan</v>
          </cell>
          <cell r="G707" t="str">
            <v>b</v>
          </cell>
          <cell r="H707">
            <v>1.2</v>
          </cell>
          <cell r="I707" t="str">
            <v>M</v>
          </cell>
        </row>
        <row r="708">
          <cell r="C708" t="str">
            <v>Jumlah lintasan</v>
          </cell>
          <cell r="G708" t="str">
            <v>n</v>
          </cell>
          <cell r="H708">
            <v>8</v>
          </cell>
          <cell r="I708" t="str">
            <v>lintasan</v>
          </cell>
        </row>
        <row r="709">
          <cell r="C709" t="str">
            <v>Faktor efisiensi alat</v>
          </cell>
          <cell r="G709" t="str">
            <v>Fa</v>
          </cell>
          <cell r="H709">
            <v>0.83</v>
          </cell>
          <cell r="I709" t="str">
            <v>-</v>
          </cell>
        </row>
        <row r="711">
          <cell r="C711" t="str">
            <v>Kapasitas Produksi / Jam   =</v>
          </cell>
          <cell r="E711" t="str">
            <v>(v x 1000) x b x Fa</v>
          </cell>
          <cell r="G711" t="str">
            <v>Q2</v>
          </cell>
          <cell r="H711">
            <v>249</v>
          </cell>
          <cell r="I711" t="str">
            <v>M2</v>
          </cell>
        </row>
        <row r="712">
          <cell r="E712" t="str">
            <v>n</v>
          </cell>
        </row>
        <row r="713">
          <cell r="C713" t="str">
            <v>Koefisien Alat / m2</v>
          </cell>
          <cell r="D713" t="str">
            <v xml:space="preserve"> =  1  :  Q2</v>
          </cell>
          <cell r="G713" t="str">
            <v>(E19)</v>
          </cell>
          <cell r="H713">
            <v>4.0000000000000001E-3</v>
          </cell>
          <cell r="I713" t="str">
            <v>Jam</v>
          </cell>
        </row>
        <row r="715">
          <cell r="J715" t="str">
            <v>Berlanjut ke halaman berikut</v>
          </cell>
        </row>
        <row r="716">
          <cell r="A716" t="str">
            <v>ITEM PEMBAYARAN NO.</v>
          </cell>
          <cell r="D716" t="str">
            <v>:  3.3</v>
          </cell>
          <cell r="J716" t="str">
            <v>Analisa EI-33</v>
          </cell>
        </row>
        <row r="717">
          <cell r="A717" t="str">
            <v>JENIS PEKERJAAN</v>
          </cell>
          <cell r="D717" t="str">
            <v>:  Penyiapan Badan Jalan</v>
          </cell>
        </row>
        <row r="718">
          <cell r="A718" t="str">
            <v>SATUAN PEMBAYARAN</v>
          </cell>
          <cell r="D718" t="str">
            <v>:  M2</v>
          </cell>
          <cell r="H718" t="str">
            <v xml:space="preserve">         URAIAN ANALISA HARGA SATUAN</v>
          </cell>
        </row>
        <row r="719">
          <cell r="J719" t="str">
            <v>Lanjutan</v>
          </cell>
        </row>
        <row r="721">
          <cell r="A721" t="str">
            <v>No.</v>
          </cell>
          <cell r="C721" t="str">
            <v>U R A I A N</v>
          </cell>
          <cell r="G721" t="str">
            <v>KODE</v>
          </cell>
          <cell r="H721" t="str">
            <v>KOEF.</v>
          </cell>
          <cell r="I721" t="str">
            <v>SATUAN</v>
          </cell>
          <cell r="J721" t="str">
            <v>KETERANGAN</v>
          </cell>
        </row>
        <row r="724">
          <cell r="A724" t="str">
            <v>2.c.</v>
          </cell>
          <cell r="C724" t="str">
            <v>WATER TANK TRUCK</v>
          </cell>
          <cell r="G724" t="str">
            <v>(E23)</v>
          </cell>
        </row>
        <row r="725">
          <cell r="C725" t="str">
            <v>Volume tangki air</v>
          </cell>
          <cell r="G725" t="str">
            <v>V</v>
          </cell>
          <cell r="H725">
            <v>4</v>
          </cell>
          <cell r="I725" t="str">
            <v>M3</v>
          </cell>
        </row>
        <row r="726">
          <cell r="C726" t="str">
            <v>Kebutuhan air / M3 material padat</v>
          </cell>
          <cell r="G726" t="str">
            <v>Wc</v>
          </cell>
          <cell r="H726">
            <v>7.0000000000000007E-2</v>
          </cell>
          <cell r="I726" t="str">
            <v>M3</v>
          </cell>
        </row>
        <row r="727">
          <cell r="C727" t="str">
            <v>Pengisian Tangki / jam</v>
          </cell>
          <cell r="G727" t="str">
            <v>n</v>
          </cell>
          <cell r="H727">
            <v>2</v>
          </cell>
          <cell r="I727" t="str">
            <v>kali</v>
          </cell>
        </row>
        <row r="728">
          <cell r="C728" t="str">
            <v>Faktor efisiensi alat</v>
          </cell>
          <cell r="G728" t="str">
            <v>Fa</v>
          </cell>
          <cell r="H728">
            <v>0.83</v>
          </cell>
          <cell r="I728" t="str">
            <v>-</v>
          </cell>
        </row>
        <row r="730">
          <cell r="C730" t="str">
            <v>Kapasitas Produksi / Jam   =</v>
          </cell>
          <cell r="E730" t="str">
            <v>V  x  n x Fa</v>
          </cell>
          <cell r="G730" t="str">
            <v>Q3</v>
          </cell>
          <cell r="H730">
            <v>94.857100000000003</v>
          </cell>
          <cell r="I730" t="str">
            <v>M3</v>
          </cell>
        </row>
        <row r="731">
          <cell r="E731" t="str">
            <v xml:space="preserve">     Wc</v>
          </cell>
        </row>
        <row r="733">
          <cell r="C733" t="str">
            <v>Koefisien Alat / m3</v>
          </cell>
          <cell r="D733" t="str">
            <v xml:space="preserve"> =  1  :  Q3</v>
          </cell>
          <cell r="G733" t="str">
            <v>(E23)</v>
          </cell>
          <cell r="H733">
            <v>1.0500000000000001E-2</v>
          </cell>
          <cell r="I733" t="str">
            <v>Jam</v>
          </cell>
        </row>
        <row r="736">
          <cell r="A736" t="str">
            <v>2.d.</v>
          </cell>
          <cell r="C736" t="str">
            <v>ALAT  BANTU</v>
          </cell>
        </row>
        <row r="737">
          <cell r="C737" t="str">
            <v>Diperlukan alat-alat bantu kecil</v>
          </cell>
          <cell r="J737" t="str">
            <v>Lump Sum</v>
          </cell>
        </row>
        <row r="738">
          <cell r="C738" t="str">
            <v>- Sekop    =         3   buah</v>
          </cell>
        </row>
        <row r="741">
          <cell r="A741" t="str">
            <v xml:space="preserve">   3.</v>
          </cell>
          <cell r="C741" t="str">
            <v>TENAGA</v>
          </cell>
        </row>
        <row r="742">
          <cell r="C742" t="str">
            <v>Produksi menentukan : VIBRATORY  ROLLER</v>
          </cell>
          <cell r="G742" t="str">
            <v>Q2</v>
          </cell>
          <cell r="H742">
            <v>249</v>
          </cell>
          <cell r="I742" t="str">
            <v>M2/Jam</v>
          </cell>
        </row>
        <row r="743">
          <cell r="C743" t="str">
            <v>Produksi Pekerjaan / hari  =  Tk x Q1</v>
          </cell>
          <cell r="G743" t="str">
            <v>Qt</v>
          </cell>
          <cell r="H743">
            <v>1743</v>
          </cell>
          <cell r="I743" t="str">
            <v>M2</v>
          </cell>
        </row>
        <row r="744">
          <cell r="C744" t="str">
            <v>Kebutuhan tenaga :</v>
          </cell>
        </row>
        <row r="745">
          <cell r="D745" t="str">
            <v>- Pekerja</v>
          </cell>
          <cell r="G745" t="str">
            <v>P</v>
          </cell>
          <cell r="H745">
            <v>4</v>
          </cell>
          <cell r="I745" t="str">
            <v>orang</v>
          </cell>
        </row>
        <row r="746">
          <cell r="D746" t="str">
            <v>- Mandor</v>
          </cell>
          <cell r="G746" t="str">
            <v>M</v>
          </cell>
          <cell r="H746">
            <v>1</v>
          </cell>
          <cell r="I746" t="str">
            <v>orang</v>
          </cell>
        </row>
        <row r="748">
          <cell r="C748" t="str">
            <v>Koefisien tenaga / M2</v>
          </cell>
        </row>
        <row r="749">
          <cell r="D749" t="str">
            <v>- Pekerja</v>
          </cell>
          <cell r="E749" t="str">
            <v>= (Tk x P) : Qt</v>
          </cell>
          <cell r="G749" t="str">
            <v>(L01)</v>
          </cell>
          <cell r="H749">
            <v>1.61E-2</v>
          </cell>
          <cell r="I749" t="str">
            <v>Jam</v>
          </cell>
        </row>
        <row r="750">
          <cell r="D750" t="str">
            <v>- Mandor</v>
          </cell>
          <cell r="E750" t="str">
            <v>= (Tk x M) : Qt</v>
          </cell>
          <cell r="G750" t="str">
            <v>(L02)</v>
          </cell>
          <cell r="H750">
            <v>4.0000000000000001E-3</v>
          </cell>
          <cell r="I750" t="str">
            <v>Jam</v>
          </cell>
        </row>
        <row r="752">
          <cell r="A752" t="str">
            <v>4.</v>
          </cell>
          <cell r="C752" t="str">
            <v>HARGA DASAR SATUAN UPAH, BAHAN DAN ALAT</v>
          </cell>
        </row>
        <row r="753">
          <cell r="C753" t="str">
            <v>Lihat lampiran.</v>
          </cell>
        </row>
        <row r="755">
          <cell r="A755" t="str">
            <v>5.</v>
          </cell>
          <cell r="C755" t="str">
            <v>ANALISA HARGA SATUAN PEKERJAAN</v>
          </cell>
        </row>
        <row r="756">
          <cell r="C756" t="str">
            <v>Lihat perhitungan dalam FORMULIR STANDAR UNTUK</v>
          </cell>
        </row>
        <row r="757">
          <cell r="C757" t="str">
            <v>PEREKEMAN ANALISA MASING-MASING HARGA</v>
          </cell>
        </row>
        <row r="758">
          <cell r="C758" t="str">
            <v>SATUAN.</v>
          </cell>
        </row>
        <row r="759">
          <cell r="C759" t="str">
            <v>Didapat Harga Satuan Pekerjaan :</v>
          </cell>
        </row>
        <row r="761">
          <cell r="C761" t="str">
            <v xml:space="preserve">Rp.  </v>
          </cell>
          <cell r="D761">
            <v>1992.0199999999998</v>
          </cell>
          <cell r="E761" t="str">
            <v xml:space="preserve"> / M2</v>
          </cell>
        </row>
      </sheetData>
      <sheetData sheetId="10" refreshError="1">
        <row r="1">
          <cell r="A1" t="str">
            <v>ITEM PEMBAYARAN NO.</v>
          </cell>
          <cell r="D1" t="str">
            <v>:  5.1 (6)</v>
          </cell>
          <cell r="J1" t="str">
            <v>Analisa El-516</v>
          </cell>
        </row>
        <row r="2">
          <cell r="A2" t="str">
            <v>JENIS PEKERJAAN</v>
          </cell>
          <cell r="D2" t="str">
            <v>:  Lps. Pondasi Telford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J3" t="str">
            <v xml:space="preserve">         URAIAN ANALISA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</row>
        <row r="9">
          <cell r="A9" t="str">
            <v>I.</v>
          </cell>
          <cell r="C9" t="str">
            <v>ASUMSI</v>
          </cell>
        </row>
        <row r="10">
          <cell r="A10">
            <v>1</v>
          </cell>
          <cell r="C10" t="str">
            <v>Menggunakan tenaga manusia ( manual)</v>
          </cell>
        </row>
        <row r="11">
          <cell r="A11">
            <v>2</v>
          </cell>
          <cell r="C11" t="str">
            <v>Lokasi pekerjaan : sekitar jembatan</v>
          </cell>
        </row>
        <row r="12">
          <cell r="A12">
            <v>3</v>
          </cell>
          <cell r="C12" t="str">
            <v>Kondisi existing jalan : sedang</v>
          </cell>
          <cell r="G12" t="str">
            <v>L</v>
          </cell>
          <cell r="H12">
            <v>1</v>
          </cell>
          <cell r="I12" t="str">
            <v>KM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1</v>
          </cell>
          <cell r="I13" t="str">
            <v>KM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1.6667000000000001</v>
          </cell>
          <cell r="I15" t="str">
            <v>-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 xml:space="preserve"> 100 bagian</v>
          </cell>
        </row>
        <row r="17">
          <cell r="A17">
            <v>8</v>
          </cell>
          <cell r="C17" t="str">
            <v>Proporsi Campuran :</v>
          </cell>
          <cell r="D17" t="str">
            <v>- Pasir urug</v>
          </cell>
          <cell r="G17" t="str">
            <v>Ak</v>
          </cell>
          <cell r="H17">
            <v>30</v>
          </cell>
          <cell r="I17" t="str">
            <v>%</v>
          </cell>
          <cell r="J17" t="str">
            <v xml:space="preserve"> 80 bagian</v>
          </cell>
        </row>
        <row r="18">
          <cell r="A18">
            <v>2</v>
          </cell>
          <cell r="C18" t="str">
            <v>Penggalian dilakukan dengan menggunakan Excavator</v>
          </cell>
          <cell r="D18" t="str">
            <v>- Batu pecah 10/15</v>
          </cell>
          <cell r="G18" t="str">
            <v>Ah</v>
          </cell>
          <cell r="H18">
            <v>50</v>
          </cell>
          <cell r="I18" t="str">
            <v>%</v>
          </cell>
        </row>
        <row r="19">
          <cell r="A19">
            <v>3</v>
          </cell>
          <cell r="C19" t="str">
            <v>Selanjutnya Excavator menuangkan material hasil</v>
          </cell>
          <cell r="D19" t="str">
            <v>- Batu pecah 5/7</v>
          </cell>
          <cell r="G19" t="str">
            <v>St</v>
          </cell>
          <cell r="H19">
            <v>20</v>
          </cell>
          <cell r="I19" t="str">
            <v>%</v>
          </cell>
        </row>
        <row r="20">
          <cell r="A20" t="str">
            <v>II.</v>
          </cell>
          <cell r="C20" t="str">
            <v>URUTAN KERJA</v>
          </cell>
          <cell r="G20" t="str">
            <v>D2</v>
          </cell>
          <cell r="H20">
            <v>0.8</v>
          </cell>
          <cell r="I20" t="str">
            <v>Kg / liter</v>
          </cell>
        </row>
        <row r="21">
          <cell r="A21">
            <v>1</v>
          </cell>
          <cell r="C21" t="str">
            <v xml:space="preserve">Tenaga manusia memuat material </v>
          </cell>
          <cell r="G21" t="str">
            <v>L</v>
          </cell>
          <cell r="H21">
            <v>1</v>
          </cell>
          <cell r="I21" t="str">
            <v>Km</v>
          </cell>
        </row>
        <row r="22">
          <cell r="A22">
            <v>4</v>
          </cell>
          <cell r="C22" t="str">
            <v>dalam Dump Truck di Base Camp</v>
          </cell>
          <cell r="G22" t="str">
            <v>L</v>
          </cell>
          <cell r="H22">
            <v>1</v>
          </cell>
          <cell r="I22" t="str">
            <v>Km</v>
          </cell>
        </row>
        <row r="23">
          <cell r="A23">
            <v>2</v>
          </cell>
          <cell r="C23" t="str">
            <v>Dump Truck mengangkut Agregat ke lokasi</v>
          </cell>
        </row>
        <row r="24">
          <cell r="A24" t="str">
            <v>III.</v>
          </cell>
          <cell r="C24" t="str">
            <v>pekerjaan dan dihampar / disusun dengan tenaga manusia</v>
          </cell>
        </row>
        <row r="25">
          <cell r="A25">
            <v>3</v>
          </cell>
          <cell r="C25" t="str">
            <v xml:space="preserve">Selama pemadatan, sekelompok pekerja akan merapikan tepi hamparan </v>
          </cell>
        </row>
        <row r="26">
          <cell r="A26" t="str">
            <v xml:space="preserve">   1.</v>
          </cell>
          <cell r="C26" t="str">
            <v>dan level permukaan dengan menggunakan alat bantu</v>
          </cell>
        </row>
        <row r="27">
          <cell r="A27">
            <v>2</v>
          </cell>
          <cell r="C27" t="str">
            <v>Tidak ada bahan yang diperlukan</v>
          </cell>
        </row>
        <row r="28">
          <cell r="C28" t="str">
            <v>dan kotoran dengan Air Compressor</v>
          </cell>
        </row>
        <row r="29">
          <cell r="A29" t="str">
            <v>III.</v>
          </cell>
          <cell r="C29" t="str">
            <v>PEMAKAIAN BAHAN, ALAT DAN TENAGA</v>
          </cell>
        </row>
        <row r="30">
          <cell r="A30" t="str">
            <v xml:space="preserve">   1.</v>
          </cell>
          <cell r="C30" t="str">
            <v>BAHAN</v>
          </cell>
          <cell r="G30" t="str">
            <v>(E10)</v>
          </cell>
        </row>
        <row r="31">
          <cell r="A31">
            <v>4</v>
          </cell>
          <cell r="C31" t="str">
            <v>- Pasir urug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</row>
        <row r="32">
          <cell r="C32" t="str">
            <v>- Batu 10/15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</row>
        <row r="33">
          <cell r="A33" t="str">
            <v>III.</v>
          </cell>
          <cell r="C33" t="str">
            <v>- Batu 5/7</v>
          </cell>
          <cell r="D33" t="str">
            <v>=  St x 1 M3 x Fk</v>
          </cell>
          <cell r="G33" t="str">
            <v>M06.b</v>
          </cell>
          <cell r="H33">
            <v>0.33339999999999997</v>
          </cell>
          <cell r="I33" t="str">
            <v>M3</v>
          </cell>
        </row>
        <row r="34">
          <cell r="A34" t="str">
            <v xml:space="preserve">   2.</v>
          </cell>
          <cell r="C34" t="str">
            <v>ALAT</v>
          </cell>
        </row>
        <row r="35">
          <cell r="A35" t="str">
            <v xml:space="preserve">   2.a.</v>
          </cell>
          <cell r="C35" t="str">
            <v>DUMP TRUCK</v>
          </cell>
          <cell r="G35" t="str">
            <v>(E08)</v>
          </cell>
          <cell r="I35" t="str">
            <v>menit</v>
          </cell>
        </row>
        <row r="36">
          <cell r="C36" t="str">
            <v>Kapasitas bak</v>
          </cell>
          <cell r="G36" t="str">
            <v>V</v>
          </cell>
          <cell r="H36">
            <v>4</v>
          </cell>
          <cell r="I36" t="str">
            <v>M3</v>
          </cell>
        </row>
        <row r="37">
          <cell r="C37" t="str">
            <v>Faktor Efisiensi alat</v>
          </cell>
          <cell r="D37" t="str">
            <v>( 1 liter x Fh )</v>
          </cell>
          <cell r="G37" t="str">
            <v>Fa</v>
          </cell>
          <cell r="H37">
            <v>0.83</v>
          </cell>
          <cell r="I37" t="str">
            <v>-</v>
          </cell>
          <cell r="J37" t="str">
            <v xml:space="preserve"> campuran</v>
          </cell>
        </row>
        <row r="38">
          <cell r="C38" t="str">
            <v>Kecepatan rata-rata bermuatan</v>
          </cell>
          <cell r="G38" t="str">
            <v>v1</v>
          </cell>
          <cell r="H38">
            <v>40</v>
          </cell>
          <cell r="I38" t="str">
            <v>KM/jam</v>
          </cell>
        </row>
        <row r="39">
          <cell r="A39" t="str">
            <v xml:space="preserve">   1.a.</v>
          </cell>
          <cell r="C39" t="str">
            <v>Kecepatan rata-rata kosong</v>
          </cell>
          <cell r="D39" t="str">
            <v>=   As x PC x D1</v>
          </cell>
          <cell r="G39" t="str">
            <v>v2</v>
          </cell>
          <cell r="H39">
            <v>50</v>
          </cell>
          <cell r="I39" t="str">
            <v>KM/jam</v>
          </cell>
        </row>
        <row r="40">
          <cell r="A40" t="str">
            <v xml:space="preserve">   1.b.</v>
          </cell>
          <cell r="C40" t="str">
            <v>Waktu Siklus :</v>
          </cell>
          <cell r="D40" t="str">
            <v>V  x Fb x Fa x 60</v>
          </cell>
          <cell r="G40" t="str">
            <v>Ts2</v>
          </cell>
          <cell r="H40">
            <v>31.125</v>
          </cell>
          <cell r="I40" t="str">
            <v>M3/Jam</v>
          </cell>
        </row>
        <row r="41">
          <cell r="C41" t="str">
            <v>- Waktu tempuh isi           =  (L : v1) x 60 menit</v>
          </cell>
          <cell r="D41" t="str">
            <v>Ts1 x Fh</v>
          </cell>
          <cell r="G41" t="str">
            <v>T1</v>
          </cell>
          <cell r="H41">
            <v>1.5</v>
          </cell>
          <cell r="I41" t="str">
            <v>menit</v>
          </cell>
        </row>
        <row r="42">
          <cell r="A42" t="str">
            <v xml:space="preserve">   2.</v>
          </cell>
          <cell r="C42" t="str">
            <v>- Waktu tempuh kosong  =  (L : v2) x 60 menit</v>
          </cell>
          <cell r="D42" t="str">
            <v xml:space="preserve"> =  1  :  Q1</v>
          </cell>
          <cell r="G42" t="str">
            <v>T2</v>
          </cell>
          <cell r="H42">
            <v>1.2</v>
          </cell>
          <cell r="I42" t="str">
            <v>menit</v>
          </cell>
        </row>
        <row r="43">
          <cell r="A43" t="str">
            <v xml:space="preserve">   2.a.</v>
          </cell>
          <cell r="C43" t="str">
            <v>- Lain-lain + mengisi + putar + tunggu</v>
          </cell>
          <cell r="D43" t="str">
            <v xml:space="preserve"> =  1  :  Q1</v>
          </cell>
          <cell r="G43" t="str">
            <v>T3</v>
          </cell>
          <cell r="H43">
            <v>20</v>
          </cell>
          <cell r="I43" t="str">
            <v>menit</v>
          </cell>
        </row>
        <row r="44">
          <cell r="A44" t="str">
            <v xml:space="preserve">   2.b.</v>
          </cell>
          <cell r="C44" t="str">
            <v>DUMP TRUCK</v>
          </cell>
          <cell r="G44" t="str">
            <v>Ts2</v>
          </cell>
          <cell r="H44">
            <v>22.7</v>
          </cell>
          <cell r="I44" t="str">
            <v>menit</v>
          </cell>
        </row>
        <row r="45">
          <cell r="A45" t="str">
            <v xml:space="preserve">   2.b.</v>
          </cell>
          <cell r="C45" t="str">
            <v>Kapasitas bak</v>
          </cell>
          <cell r="G45" t="str">
            <v>V</v>
          </cell>
          <cell r="H45">
            <v>4</v>
          </cell>
          <cell r="I45" t="str">
            <v>M3</v>
          </cell>
        </row>
        <row r="46">
          <cell r="C46" t="str">
            <v>Faktor  efisiensi alat</v>
          </cell>
          <cell r="G46" t="str">
            <v>Fa</v>
          </cell>
          <cell r="H46">
            <v>0.83</v>
          </cell>
          <cell r="I46" t="str">
            <v>-</v>
          </cell>
          <cell r="J46" t="str">
            <v>Berlanjut ke hal. berikut</v>
          </cell>
        </row>
        <row r="47">
          <cell r="C47" t="str">
            <v>Kecepatan rata-rata bermuatan</v>
          </cell>
          <cell r="D47" t="str">
            <v>V x Fa</v>
          </cell>
          <cell r="G47" t="str">
            <v>v1</v>
          </cell>
          <cell r="H47">
            <v>40</v>
          </cell>
          <cell r="I47" t="str">
            <v>KM/Jam</v>
          </cell>
        </row>
        <row r="48">
          <cell r="C48" t="str">
            <v>Kecepatan rata-rata kosong</v>
          </cell>
          <cell r="D48" t="str">
            <v>Ts</v>
          </cell>
          <cell r="G48" t="str">
            <v>v2</v>
          </cell>
          <cell r="H48">
            <v>60</v>
          </cell>
          <cell r="I48" t="str">
            <v>KM/Jam</v>
          </cell>
        </row>
        <row r="49">
          <cell r="C49" t="str">
            <v>Waktu  siklus</v>
          </cell>
          <cell r="D49" t="str">
            <v xml:space="preserve"> =  1  :  Q1</v>
          </cell>
          <cell r="G49" t="str">
            <v>Ts2</v>
          </cell>
          <cell r="H49">
            <v>3.0000000000000001E-3</v>
          </cell>
          <cell r="I49" t="str">
            <v>menit</v>
          </cell>
        </row>
        <row r="50">
          <cell r="C50" t="str">
            <v>- Waktu tempuh isi</v>
          </cell>
          <cell r="E50" t="str">
            <v>=   (L  :  v1)  x  60</v>
          </cell>
          <cell r="G50" t="str">
            <v>T1</v>
          </cell>
          <cell r="H50">
            <v>1.5</v>
          </cell>
          <cell r="I50" t="str">
            <v>menit</v>
          </cell>
        </row>
        <row r="51">
          <cell r="A51" t="str">
            <v xml:space="preserve">   2.b.</v>
          </cell>
          <cell r="C51" t="str">
            <v>- Waktu tempuh kosong</v>
          </cell>
          <cell r="E51" t="str">
            <v>=   (L  :  v2)  x  60</v>
          </cell>
          <cell r="G51" t="str">
            <v>T2</v>
          </cell>
          <cell r="H51">
            <v>1</v>
          </cell>
          <cell r="I51" t="str">
            <v>menit</v>
          </cell>
        </row>
        <row r="52">
          <cell r="C52" t="str">
            <v>- Muat</v>
          </cell>
          <cell r="E52" t="str">
            <v>=   (V  :  Q1) x 60</v>
          </cell>
          <cell r="G52" t="str">
            <v>T3</v>
          </cell>
          <cell r="H52">
            <v>7.7107999999999999</v>
          </cell>
          <cell r="I52" t="str">
            <v>menit</v>
          </cell>
        </row>
        <row r="53">
          <cell r="C53" t="str">
            <v>- Lain-lain</v>
          </cell>
          <cell r="E53" t="str">
            <v>=   (V  :  Q1) x 60</v>
          </cell>
          <cell r="G53" t="str">
            <v>T4</v>
          </cell>
          <cell r="H53">
            <v>0.5</v>
          </cell>
          <cell r="I53" t="str">
            <v>menit</v>
          </cell>
        </row>
        <row r="54">
          <cell r="C54" t="str">
            <v>Kap. Prod. / jam =</v>
          </cell>
          <cell r="D54" t="str">
            <v>( V x Ap )</v>
          </cell>
          <cell r="G54" t="str">
            <v>Ts2</v>
          </cell>
          <cell r="H54">
            <v>10.710799999999999</v>
          </cell>
          <cell r="I54" t="str">
            <v>menit</v>
          </cell>
        </row>
        <row r="55">
          <cell r="C55" t="str">
            <v>Koefisien Alat / Ltr</v>
          </cell>
          <cell r="D55" t="str">
            <v xml:space="preserve"> =  1  :  Q2</v>
          </cell>
          <cell r="G55" t="str">
            <v>(E05)</v>
          </cell>
          <cell r="H55">
            <v>3.0999999999999999E-3</v>
          </cell>
          <cell r="I55" t="str">
            <v>Jam</v>
          </cell>
          <cell r="J55" t="str">
            <v>Berlanjut ke halaman berikut</v>
          </cell>
        </row>
        <row r="56">
          <cell r="A56" t="str">
            <v>ITEM PEMBAYARAN NO.</v>
          </cell>
          <cell r="D56" t="str">
            <v>:  3.1 (1)</v>
          </cell>
          <cell r="J56" t="str">
            <v>Analisa EI-311</v>
          </cell>
        </row>
        <row r="57">
          <cell r="A57" t="str">
            <v>ITEM PEMBAYARAN NO.</v>
          </cell>
          <cell r="D57" t="str">
            <v>:  5.1 (6)</v>
          </cell>
          <cell r="J57" t="str">
            <v>Analisa El-516</v>
          </cell>
        </row>
        <row r="58">
          <cell r="A58" t="str">
            <v>JENIS PEKERJAAN</v>
          </cell>
          <cell r="D58" t="str">
            <v>:  Lps. Pondasi Telford</v>
          </cell>
          <cell r="H58" t="str">
            <v xml:space="preserve">         URAIAN ANALISA HARGA SATUAN</v>
          </cell>
          <cell r="J58" t="str">
            <v>Analisa EI-611</v>
          </cell>
        </row>
        <row r="59">
          <cell r="A59" t="str">
            <v>SATUAN PEMBAYARAN</v>
          </cell>
          <cell r="D59" t="str">
            <v>:  M3</v>
          </cell>
          <cell r="H59" t="str">
            <v xml:space="preserve">         URAIAN ANALISA HARGA SATUAN</v>
          </cell>
          <cell r="J59" t="str">
            <v>Lanjutan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KETERANGAN</v>
          </cell>
        </row>
        <row r="62">
          <cell r="A62" t="str">
            <v>No.</v>
          </cell>
          <cell r="C62" t="str">
            <v>U R A I A N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</row>
        <row r="63">
          <cell r="A63" t="str">
            <v>No.</v>
          </cell>
          <cell r="C63" t="str">
            <v>U R A I A N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</row>
        <row r="64">
          <cell r="C64" t="str">
            <v>Kapasitas Produksi / Jam   =</v>
          </cell>
          <cell r="E64" t="str">
            <v>V x Fa x 60</v>
          </cell>
          <cell r="G64" t="str">
            <v>Q2</v>
          </cell>
          <cell r="H64">
            <v>15.4984</v>
          </cell>
          <cell r="I64" t="str">
            <v xml:space="preserve">M3/Jam </v>
          </cell>
        </row>
        <row r="65">
          <cell r="C65" t="str">
            <v>Kap. Prod. / jam =</v>
          </cell>
          <cell r="D65" t="str">
            <v>V x Fa x 60</v>
          </cell>
          <cell r="E65" t="str">
            <v xml:space="preserve">    Fk x Ts2</v>
          </cell>
          <cell r="G65" t="str">
            <v>Q1</v>
          </cell>
          <cell r="H65">
            <v>5.2651000000000003</v>
          </cell>
          <cell r="I65" t="str">
            <v>M3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E66" t="str">
            <v xml:space="preserve">    Fk x Ts2</v>
          </cell>
          <cell r="G66" t="str">
            <v>(E08)</v>
          </cell>
        </row>
        <row r="67">
          <cell r="C67" t="str">
            <v>Koefisien Alat / M3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</row>
        <row r="68">
          <cell r="C68" t="str">
            <v>Koefisien Alat / M3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</row>
        <row r="70">
          <cell r="A70" t="str">
            <v xml:space="preserve">   2.b.</v>
          </cell>
          <cell r="C70" t="str">
            <v>TREE WHEEL ROLLER</v>
          </cell>
          <cell r="G70" t="str">
            <v>(E16 )</v>
          </cell>
        </row>
        <row r="71">
          <cell r="A71" t="str">
            <v>2.c.</v>
          </cell>
          <cell r="C71" t="str">
            <v>Kecepatan rata-rata alat</v>
          </cell>
          <cell r="D71" t="str">
            <v xml:space="preserve"> =  1  :  Q3</v>
          </cell>
          <cell r="G71" t="str">
            <v>v</v>
          </cell>
          <cell r="H71">
            <v>2</v>
          </cell>
          <cell r="I71" t="str">
            <v>KM/jam</v>
          </cell>
        </row>
        <row r="72">
          <cell r="A72" t="str">
            <v>2.d.</v>
          </cell>
          <cell r="C72" t="str">
            <v>Lebar efektif pemadatan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</row>
        <row r="73">
          <cell r="A73" t="str">
            <v xml:space="preserve">   3.</v>
          </cell>
          <cell r="C73" t="str">
            <v>Jumlah lintasan</v>
          </cell>
          <cell r="G73" t="str">
            <v>n</v>
          </cell>
          <cell r="H73">
            <v>8</v>
          </cell>
          <cell r="I73" t="str">
            <v>lintasan</v>
          </cell>
          <cell r="J73" t="str">
            <v>Lump Sump</v>
          </cell>
        </row>
        <row r="74">
          <cell r="C74" t="str">
            <v>Faktor Efisiensi alat</v>
          </cell>
          <cell r="G74" t="str">
            <v>Fa</v>
          </cell>
          <cell r="H74">
            <v>0.83</v>
          </cell>
          <cell r="I74" t="str">
            <v>-</v>
          </cell>
        </row>
        <row r="75">
          <cell r="C75" t="str">
            <v>Produksi Lapis Resap Pengikat / hari  =  Tk x Q4</v>
          </cell>
          <cell r="G75" t="str">
            <v>Qt</v>
          </cell>
          <cell r="H75">
            <v>2324</v>
          </cell>
          <cell r="I75" t="str">
            <v>liter</v>
          </cell>
        </row>
        <row r="76">
          <cell r="A76" t="str">
            <v xml:space="preserve">   3.</v>
          </cell>
          <cell r="C76" t="str">
            <v>Kap. Prod. / jam =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</row>
        <row r="77">
          <cell r="A77" t="str">
            <v xml:space="preserve">   3.</v>
          </cell>
          <cell r="C77" t="str">
            <v>Produksi menentukan : EXCAVATOR</v>
          </cell>
          <cell r="D77" t="str">
            <v>n</v>
          </cell>
          <cell r="G77" t="str">
            <v>Q1</v>
          </cell>
          <cell r="H77">
            <v>31.125</v>
          </cell>
          <cell r="I77" t="str">
            <v>M3/Jam</v>
          </cell>
        </row>
        <row r="78">
          <cell r="C78" t="str">
            <v>Koefisien Alat / M3</v>
          </cell>
          <cell r="D78" t="str">
            <v xml:space="preserve"> =  1  :  Q2</v>
          </cell>
          <cell r="G78" t="str">
            <v>(E16)</v>
          </cell>
          <cell r="H78">
            <v>2.6800000000000001E-2</v>
          </cell>
          <cell r="I78" t="str">
            <v>jam</v>
          </cell>
        </row>
        <row r="79">
          <cell r="C79" t="str">
            <v>Kebutuhan tenaga :</v>
          </cell>
          <cell r="G79" t="str">
            <v>Qt</v>
          </cell>
          <cell r="H79">
            <v>201.1156</v>
          </cell>
          <cell r="I79" t="str">
            <v>M3</v>
          </cell>
        </row>
        <row r="80">
          <cell r="A80" t="str">
            <v xml:space="preserve">   2.c.</v>
          </cell>
          <cell r="C80" t="str">
            <v>ALAT BANTU</v>
          </cell>
          <cell r="D80" t="str">
            <v>- Pekerja</v>
          </cell>
          <cell r="G80" t="str">
            <v>P</v>
          </cell>
          <cell r="H80">
            <v>2</v>
          </cell>
          <cell r="I80" t="str">
            <v>orang</v>
          </cell>
          <cell r="J80" t="str">
            <v xml:space="preserve"> Lump Sum</v>
          </cell>
        </row>
        <row r="81">
          <cell r="C81" t="str">
            <v>Diperlukan   :</v>
          </cell>
          <cell r="D81" t="str">
            <v>- Mandor</v>
          </cell>
          <cell r="E81" t="str">
            <v>= (Tk x P) : Qt</v>
          </cell>
          <cell r="G81" t="str">
            <v>M</v>
          </cell>
          <cell r="H81">
            <v>1</v>
          </cell>
          <cell r="I81" t="str">
            <v>orang</v>
          </cell>
        </row>
        <row r="82">
          <cell r="C82" t="str">
            <v>- Kereta dorong</v>
          </cell>
          <cell r="D82" t="str">
            <v>=  2  buah.</v>
          </cell>
          <cell r="E82" t="str">
            <v>= (Tk x M) : Qt</v>
          </cell>
          <cell r="G82" t="str">
            <v>(L03)</v>
          </cell>
          <cell r="H82">
            <v>3.0000000000000001E-3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</row>
        <row r="84">
          <cell r="A84" t="str">
            <v>4.</v>
          </cell>
          <cell r="C84" t="str">
            <v>- Garpu</v>
          </cell>
          <cell r="D84" t="str">
            <v>=  2  buah.</v>
          </cell>
          <cell r="E84" t="str">
            <v>= (Tk x P) : Qt</v>
          </cell>
          <cell r="G84" t="str">
            <v>(L01)</v>
          </cell>
          <cell r="H84">
            <v>6.4299999999999996E-2</v>
          </cell>
          <cell r="I84" t="str">
            <v>Jam</v>
          </cell>
        </row>
        <row r="85">
          <cell r="C85" t="str">
            <v>Lihat lampiran.</v>
          </cell>
          <cell r="D85" t="str">
            <v>- Mandor</v>
          </cell>
          <cell r="E85" t="str">
            <v>= (Tk x M) : Qt</v>
          </cell>
          <cell r="G85" t="str">
            <v>(L03)</v>
          </cell>
          <cell r="H85">
            <v>3.2099999999999997E-2</v>
          </cell>
          <cell r="I85" t="str">
            <v>Jam</v>
          </cell>
        </row>
        <row r="86">
          <cell r="A86" t="str">
            <v xml:space="preserve">   3.</v>
          </cell>
          <cell r="C86" t="str">
            <v>TENAGA</v>
          </cell>
          <cell r="D86" t="str">
            <v>- Mandor</v>
          </cell>
          <cell r="E86" t="str">
            <v>= (Tk x M) : Qt</v>
          </cell>
          <cell r="G86" t="str">
            <v>(L03)</v>
          </cell>
          <cell r="H86">
            <v>3.4799999999999998E-2</v>
          </cell>
          <cell r="I86" t="str">
            <v>Jam</v>
          </cell>
        </row>
        <row r="87">
          <cell r="A87" t="str">
            <v>4.</v>
          </cell>
          <cell r="C87" t="str">
            <v>Produksi menentukan : THREE WHEEL ROLLER</v>
          </cell>
          <cell r="G87" t="str">
            <v>Q2</v>
          </cell>
          <cell r="H87">
            <v>37.35</v>
          </cell>
          <cell r="I87" t="str">
            <v>M3/jam</v>
          </cell>
        </row>
        <row r="88">
          <cell r="A88" t="str">
            <v>4.</v>
          </cell>
          <cell r="C88" t="str">
            <v>Produksi agregat / hari  =  Tk x Q2</v>
          </cell>
          <cell r="G88" t="str">
            <v>Qt</v>
          </cell>
          <cell r="H88">
            <v>261.45</v>
          </cell>
          <cell r="I88" t="str">
            <v>M3</v>
          </cell>
        </row>
        <row r="89">
          <cell r="C89" t="str">
            <v>Kebutuhan tenaga :</v>
          </cell>
        </row>
        <row r="90">
          <cell r="A90" t="str">
            <v>5.</v>
          </cell>
          <cell r="C90" t="str">
            <v>ANALISA HARGA SATUAN PEKERJAAN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</row>
        <row r="91">
          <cell r="A91" t="str">
            <v>5.</v>
          </cell>
          <cell r="C91" t="str">
            <v>Lihat perhitungan dalam FORMULIR STANDAR UNTUK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</row>
        <row r="92">
          <cell r="C92" t="str">
            <v>PEREKEMAN ANALISA MASING-MASING HARGA</v>
          </cell>
        </row>
        <row r="93">
          <cell r="C93" t="str">
            <v>Koefisien tenaga / M3   :</v>
          </cell>
          <cell r="D93">
            <v>3899.3</v>
          </cell>
          <cell r="E93" t="str">
            <v xml:space="preserve"> / liter.</v>
          </cell>
        </row>
        <row r="94">
          <cell r="C94" t="str">
            <v>Didapat Harga Satuan Pekerjaan :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</row>
        <row r="95">
          <cell r="C95" t="str">
            <v>Didapat Harga Satuan Pekerjaan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</row>
        <row r="96">
          <cell r="C96" t="str">
            <v xml:space="preserve">Rp.  </v>
          </cell>
          <cell r="D96">
            <v>15829.46</v>
          </cell>
          <cell r="E96" t="str">
            <v xml:space="preserve"> / M3</v>
          </cell>
        </row>
        <row r="97">
          <cell r="A97" t="str">
            <v>4.</v>
          </cell>
          <cell r="C97" t="str">
            <v>HARGA DASAR SATUAN UPAH, BAHAN DAN ALAT</v>
          </cell>
          <cell r="D97">
            <v>17144.61</v>
          </cell>
          <cell r="E97" t="str">
            <v xml:space="preserve"> / M3</v>
          </cell>
        </row>
        <row r="98">
          <cell r="C98" t="str">
            <v>Lihat lampiran.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</row>
        <row r="102">
          <cell r="C102" t="str">
            <v>PEREKAMAN ANALISA MASING-MASING HARGA</v>
          </cell>
        </row>
        <row r="103">
          <cell r="C103" t="str">
            <v>SATUAN.</v>
          </cell>
        </row>
        <row r="104">
          <cell r="C104" t="str">
            <v>Didapat Harga Satuan Pekerjaan :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</row>
        <row r="112">
          <cell r="A112" t="str">
            <v>JENIS PEKERJAAN</v>
          </cell>
          <cell r="D112" t="str">
            <v>:  Galian Struktur Kedalaman 0-2 M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</row>
        <row r="116">
          <cell r="A116" t="str">
            <v>ITEM PEMBAYARAN NO.</v>
          </cell>
          <cell r="C116" t="str">
            <v>U R A I A N</v>
          </cell>
          <cell r="D116" t="str">
            <v>:  8.5.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Analisa El-85</v>
          </cell>
        </row>
        <row r="117">
          <cell r="A117" t="str">
            <v>JENIS PEKERJAAN</v>
          </cell>
          <cell r="D117" t="str">
            <v>:  Lps. Pondasi Telford ( Minor)</v>
          </cell>
          <cell r="H117" t="str">
            <v xml:space="preserve">         URAIAN ANALISA HARGA SATUAN</v>
          </cell>
          <cell r="J117" t="str">
            <v xml:space="preserve">         URAIAN ANALISA HARGA SATUAN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</row>
        <row r="119">
          <cell r="A119" t="str">
            <v>I.</v>
          </cell>
          <cell r="C119" t="str">
            <v>ASUMSI</v>
          </cell>
        </row>
        <row r="120">
          <cell r="A120">
            <v>1</v>
          </cell>
          <cell r="C120" t="str">
            <v>Pekerjaan dilakukan secara manual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</row>
        <row r="121">
          <cell r="A121" t="str">
            <v>No.</v>
          </cell>
          <cell r="C121" t="str">
            <v>U R A I A N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</row>
        <row r="122">
          <cell r="A122">
            <v>3</v>
          </cell>
          <cell r="C122" t="str">
            <v>Kondisi Jalan   :  sedang / baik</v>
          </cell>
        </row>
        <row r="123">
          <cell r="A123">
            <v>4</v>
          </cell>
          <cell r="C123" t="str">
            <v>Jam kerja efektif per-hari</v>
          </cell>
          <cell r="G123" t="str">
            <v>Tk</v>
          </cell>
          <cell r="H123">
            <v>7</v>
          </cell>
          <cell r="I123" t="str">
            <v>Jam</v>
          </cell>
        </row>
        <row r="124">
          <cell r="A124" t="str">
            <v>I.</v>
          </cell>
          <cell r="C124" t="str">
            <v>ASUMSI</v>
          </cell>
          <cell r="G124" t="str">
            <v>Fh</v>
          </cell>
          <cell r="H124">
            <v>1.2</v>
          </cell>
          <cell r="I124" t="str">
            <v>-</v>
          </cell>
        </row>
        <row r="125">
          <cell r="A125">
            <v>1</v>
          </cell>
          <cell r="C125" t="str">
            <v>Menggunakan tenaga manusia ( manual)</v>
          </cell>
          <cell r="G125" t="str">
            <v>Uk</v>
          </cell>
          <cell r="H125">
            <v>50</v>
          </cell>
          <cell r="I125" t="str">
            <v>%/M3</v>
          </cell>
        </row>
        <row r="126">
          <cell r="A126">
            <v>2</v>
          </cell>
          <cell r="C126" t="str">
            <v>Lokasi pekerjaan : sekitar jembatan</v>
          </cell>
          <cell r="G126" t="str">
            <v>L</v>
          </cell>
          <cell r="H126">
            <v>1</v>
          </cell>
          <cell r="I126" t="str">
            <v>KM</v>
          </cell>
        </row>
        <row r="127">
          <cell r="A127">
            <v>3</v>
          </cell>
          <cell r="C127" t="str">
            <v>Kondisi existing jalan : sedang</v>
          </cell>
          <cell r="G127" t="str">
            <v>Tk</v>
          </cell>
          <cell r="H127">
            <v>7</v>
          </cell>
          <cell r="I127" t="str">
            <v>Jam</v>
          </cell>
        </row>
        <row r="128">
          <cell r="A128">
            <v>4</v>
          </cell>
          <cell r="C128" t="str">
            <v>Jarak rata-rata Base Camp ke lokasi pekerjaan</v>
          </cell>
          <cell r="G128" t="str">
            <v>L</v>
          </cell>
          <cell r="H128">
            <v>1</v>
          </cell>
          <cell r="I128" t="str">
            <v>KM</v>
          </cell>
        </row>
        <row r="129">
          <cell r="A129">
            <v>5</v>
          </cell>
          <cell r="C129" t="str">
            <v>Tebal lapis agregat padat</v>
          </cell>
          <cell r="E129" t="str">
            <v>: - Volume Semen</v>
          </cell>
          <cell r="G129" t="str">
            <v>t</v>
          </cell>
          <cell r="H129">
            <v>0.15</v>
          </cell>
          <cell r="I129" t="str">
            <v>M</v>
          </cell>
        </row>
        <row r="130">
          <cell r="A130">
            <v>6</v>
          </cell>
          <cell r="C130" t="str">
            <v>Faktor kembang material (Padat-Lepas)</v>
          </cell>
          <cell r="E130" t="str">
            <v>: - Volume Pasir</v>
          </cell>
          <cell r="G130" t="str">
            <v>Fk</v>
          </cell>
          <cell r="H130">
            <v>1.6667000000000001</v>
          </cell>
          <cell r="I130" t="str">
            <v>-</v>
          </cell>
          <cell r="J130" t="str">
            <v xml:space="preserve"> 100 bagian</v>
          </cell>
        </row>
        <row r="131">
          <cell r="A131">
            <v>7</v>
          </cell>
          <cell r="C131" t="str">
            <v>Jam kerja efektif per-hari</v>
          </cell>
          <cell r="G131" t="str">
            <v>Tk</v>
          </cell>
          <cell r="H131">
            <v>7</v>
          </cell>
          <cell r="I131" t="str">
            <v>jam</v>
          </cell>
          <cell r="J131" t="str">
            <v xml:space="preserve"> 30 bagian</v>
          </cell>
        </row>
        <row r="132">
          <cell r="A132">
            <v>8</v>
          </cell>
          <cell r="C132" t="str">
            <v>Proporsi Campuran :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</row>
        <row r="133">
          <cell r="A133" t="str">
            <v>III.</v>
          </cell>
          <cell r="C133" t="str">
            <v>PEMAKAIAN BAHAN, ALAT DAN TENAGA</v>
          </cell>
          <cell r="D133" t="str">
            <v>- Batu pecah 10/15</v>
          </cell>
          <cell r="G133" t="str">
            <v>Ah</v>
          </cell>
          <cell r="H133">
            <v>50</v>
          </cell>
          <cell r="I133" t="str">
            <v>%</v>
          </cell>
        </row>
        <row r="134">
          <cell r="A134">
            <v>8</v>
          </cell>
          <cell r="C134" t="str">
            <v>- Kerosene</v>
          </cell>
          <cell r="D134" t="str">
            <v>- Batu pecah 5/7</v>
          </cell>
          <cell r="G134" t="str">
            <v>St</v>
          </cell>
          <cell r="H134">
            <v>20</v>
          </cell>
          <cell r="I134" t="str">
            <v>%</v>
          </cell>
        </row>
        <row r="135">
          <cell r="A135" t="str">
            <v>II.</v>
          </cell>
          <cell r="C135" t="str">
            <v>URUTAN KERJA</v>
          </cell>
          <cell r="G135" t="str">
            <v>D1</v>
          </cell>
          <cell r="H135">
            <v>2.4</v>
          </cell>
          <cell r="I135" t="str">
            <v>ton/M3</v>
          </cell>
        </row>
        <row r="136">
          <cell r="A136">
            <v>1</v>
          </cell>
          <cell r="C136" t="str">
            <v xml:space="preserve">Tenaga manusia memuat material 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</row>
        <row r="137">
          <cell r="C137" t="str">
            <v>dalam Dump Truck di Base Camp</v>
          </cell>
          <cell r="G137" t="str">
            <v>D3</v>
          </cell>
          <cell r="H137">
            <v>1.8</v>
          </cell>
          <cell r="I137" t="str">
            <v>ton/M3</v>
          </cell>
        </row>
        <row r="138">
          <cell r="A138">
            <v>2</v>
          </cell>
          <cell r="C138" t="str">
            <v>Dump Truck mengangkut Agregat ke lokasi</v>
          </cell>
          <cell r="G138" t="str">
            <v>D4</v>
          </cell>
          <cell r="H138">
            <v>1.67</v>
          </cell>
          <cell r="I138" t="str">
            <v>ton/M3</v>
          </cell>
        </row>
        <row r="139">
          <cell r="A139" t="str">
            <v xml:space="preserve">   2.a.</v>
          </cell>
          <cell r="C139" t="str">
            <v>pekerjaan dan dihampar / disusun dengan tenaga manusia</v>
          </cell>
          <cell r="G139" t="str">
            <v>(E10)</v>
          </cell>
          <cell r="H139">
            <v>1.44</v>
          </cell>
          <cell r="I139" t="str">
            <v>ton/M3</v>
          </cell>
        </row>
        <row r="140">
          <cell r="A140">
            <v>3</v>
          </cell>
          <cell r="C140" t="str">
            <v xml:space="preserve">Selama pemadatan, sekelompok pekerja akan merapikan tepi hamparan </v>
          </cell>
          <cell r="E140" t="str">
            <v>- Batu</v>
          </cell>
          <cell r="G140" t="str">
            <v>V</v>
          </cell>
          <cell r="H140">
            <v>0.5</v>
          </cell>
          <cell r="I140" t="str">
            <v>M3</v>
          </cell>
        </row>
        <row r="141">
          <cell r="A141">
            <v>2</v>
          </cell>
          <cell r="C141" t="str">
            <v>dan level permukaan dengan menggunakan alat bantu</v>
          </cell>
          <cell r="E141" t="str">
            <v>- Pasir / Semen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A142" t="str">
            <v>II.</v>
          </cell>
          <cell r="C142" t="str">
            <v>Faktor  Efisiensi alat</v>
          </cell>
          <cell r="G142" t="str">
            <v>Fa</v>
          </cell>
          <cell r="H142">
            <v>0.83</v>
          </cell>
          <cell r="I142" t="str">
            <v>-</v>
          </cell>
        </row>
        <row r="143">
          <cell r="A143">
            <v>3</v>
          </cell>
          <cell r="C143" t="str">
            <v>Faktor kedalaman</v>
          </cell>
          <cell r="G143" t="str">
            <v>Fd</v>
          </cell>
          <cell r="H143">
            <v>0.8</v>
          </cell>
          <cell r="I143" t="str">
            <v>-</v>
          </cell>
        </row>
        <row r="144">
          <cell r="A144" t="str">
            <v>III.</v>
          </cell>
          <cell r="C144" t="str">
            <v>PEMAKAIAN BAHAN, ALAT DAN TENAGA</v>
          </cell>
          <cell r="G144" t="str">
            <v>Bim</v>
          </cell>
          <cell r="H144">
            <v>0.85</v>
          </cell>
          <cell r="I144" t="str">
            <v>-</v>
          </cell>
        </row>
        <row r="145">
          <cell r="A145" t="str">
            <v xml:space="preserve">   1.</v>
          </cell>
          <cell r="C145" t="str">
            <v>BAHAN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</row>
        <row r="147">
          <cell r="A147" t="str">
            <v>III.</v>
          </cell>
          <cell r="C147" t="str">
            <v>- Batu 10/15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</row>
        <row r="148">
          <cell r="A148" t="str">
            <v>III.</v>
          </cell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</row>
        <row r="149">
          <cell r="A149" t="str">
            <v xml:space="preserve">   2.</v>
          </cell>
          <cell r="C149" t="str">
            <v>ALAT</v>
          </cell>
        </row>
        <row r="150">
          <cell r="A150" t="str">
            <v xml:space="preserve">   2.a.</v>
          </cell>
          <cell r="C150" t="str">
            <v>DUMP TRUCK</v>
          </cell>
          <cell r="D150" t="str">
            <v>V  x Fb x Fa x Fd x Bim x 60</v>
          </cell>
          <cell r="G150" t="str">
            <v>(E08)</v>
          </cell>
          <cell r="H150">
            <v>21.164999999999999</v>
          </cell>
          <cell r="I150" t="str">
            <v>M3/Jam</v>
          </cell>
        </row>
        <row r="151">
          <cell r="A151" t="str">
            <v>1.a.</v>
          </cell>
          <cell r="C151" t="str">
            <v>Kapasitas bak</v>
          </cell>
          <cell r="D151" t="str">
            <v>Te x Fh</v>
          </cell>
          <cell r="G151" t="str">
            <v>V</v>
          </cell>
          <cell r="H151">
            <v>4</v>
          </cell>
          <cell r="I151" t="str">
            <v>M3</v>
          </cell>
          <cell r="J151" t="str">
            <v xml:space="preserve"> campuran</v>
          </cell>
        </row>
        <row r="152">
          <cell r="A152" t="str">
            <v>1.b.</v>
          </cell>
          <cell r="C152" t="str">
            <v>Faktor Efisiensi alat</v>
          </cell>
          <cell r="D152" t="str">
            <v>Sm x {(Mr x D1 x 1 M3} : D3} x Fh2</v>
          </cell>
          <cell r="G152" t="str">
            <v>Fa</v>
          </cell>
          <cell r="H152">
            <v>0.83</v>
          </cell>
          <cell r="I152" t="str">
            <v>-</v>
          </cell>
        </row>
        <row r="153">
          <cell r="A153" t="str">
            <v xml:space="preserve">   1.a.</v>
          </cell>
          <cell r="C153" t="str">
            <v>Kecepatan rata-rata bermuatan</v>
          </cell>
          <cell r="D153" t="str">
            <v xml:space="preserve"> =  1  :  Q1</v>
          </cell>
          <cell r="G153" t="str">
            <v>v1</v>
          </cell>
          <cell r="H153">
            <v>40</v>
          </cell>
          <cell r="I153" t="str">
            <v>KM/jam</v>
          </cell>
        </row>
        <row r="154">
          <cell r="A154" t="str">
            <v xml:space="preserve">   1.b.</v>
          </cell>
          <cell r="C154" t="str">
            <v>Kecepatan rata-rata kosong</v>
          </cell>
          <cell r="D154" t="str">
            <v>=   K x PC</v>
          </cell>
          <cell r="G154" t="str">
            <v>v2</v>
          </cell>
          <cell r="H154">
            <v>50</v>
          </cell>
          <cell r="I154" t="str">
            <v>KM/jam</v>
          </cell>
        </row>
        <row r="155">
          <cell r="A155" t="str">
            <v>2.b.</v>
          </cell>
          <cell r="C155" t="str">
            <v>Waktu Siklus :</v>
          </cell>
          <cell r="G155" t="str">
            <v>Ts2</v>
          </cell>
        </row>
        <row r="156">
          <cell r="A156" t="str">
            <v xml:space="preserve">   2.</v>
          </cell>
          <cell r="C156" t="str">
            <v>- Waktu tempuh isi           =  (L : v1) x 60 menit</v>
          </cell>
          <cell r="G156" t="str">
            <v>T1</v>
          </cell>
          <cell r="H156">
            <v>1.5</v>
          </cell>
          <cell r="I156" t="str">
            <v>menit</v>
          </cell>
        </row>
        <row r="157">
          <cell r="A157" t="str">
            <v xml:space="preserve">   2.a.</v>
          </cell>
          <cell r="C157" t="str">
            <v>- Waktu tempuh kosong  =  (L : v2) x 60 menit</v>
          </cell>
          <cell r="G157" t="str">
            <v>T2</v>
          </cell>
          <cell r="H157">
            <v>1.2</v>
          </cell>
          <cell r="I157" t="str">
            <v>menit</v>
          </cell>
        </row>
        <row r="158">
          <cell r="C158" t="str">
            <v>- Lain-lain + mengisi + putar + tunggu + dump setempat-setempat.</v>
          </cell>
          <cell r="G158" t="str">
            <v>T3</v>
          </cell>
          <cell r="H158">
            <v>30</v>
          </cell>
          <cell r="I158" t="str">
            <v>menit</v>
          </cell>
        </row>
        <row r="159">
          <cell r="C159" t="str">
            <v>Kecepatan mundur</v>
          </cell>
          <cell r="D159" t="str">
            <v>=  2  buah</v>
          </cell>
          <cell r="G159" t="str">
            <v>Ts2</v>
          </cell>
          <cell r="H159">
            <v>32.700000000000003</v>
          </cell>
          <cell r="I159" t="str">
            <v>menit</v>
          </cell>
        </row>
        <row r="160">
          <cell r="C160" t="str">
            <v>Lebar Blade</v>
          </cell>
          <cell r="D160" t="str">
            <v>=  2  buah</v>
          </cell>
          <cell r="G160" t="str">
            <v>B</v>
          </cell>
          <cell r="H160">
            <v>3</v>
          </cell>
          <cell r="I160" t="str">
            <v>M</v>
          </cell>
        </row>
        <row r="161">
          <cell r="C161" t="str">
            <v>Tinggi blade</v>
          </cell>
          <cell r="D161" t="str">
            <v>V x Fa</v>
          </cell>
          <cell r="G161" t="str">
            <v>H</v>
          </cell>
          <cell r="H161">
            <v>1.2</v>
          </cell>
          <cell r="I161" t="str">
            <v>M</v>
          </cell>
          <cell r="J161" t="str">
            <v>Berlanjut ke hal. berikut</v>
          </cell>
        </row>
        <row r="162">
          <cell r="C162" t="str">
            <v>Jarak Gusur</v>
          </cell>
          <cell r="D162" t="str">
            <v>Ts</v>
          </cell>
          <cell r="G162" t="str">
            <v>L</v>
          </cell>
          <cell r="H162">
            <v>75</v>
          </cell>
          <cell r="I162" t="str">
            <v>M</v>
          </cell>
        </row>
        <row r="163">
          <cell r="C163" t="str">
            <v>Volume 1 kali gusur =</v>
          </cell>
          <cell r="D163" t="str">
            <v xml:space="preserve"> =  1  :  Q1</v>
          </cell>
          <cell r="E163" t="str">
            <v>H^2 x B x Fb</v>
          </cell>
          <cell r="G163" t="str">
            <v>V</v>
          </cell>
          <cell r="H163">
            <v>3.89</v>
          </cell>
          <cell r="I163" t="str">
            <v>M3</v>
          </cell>
          <cell r="J163" t="str">
            <v>Loose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J165" t="str">
            <v>Berlanjut ke halaman berikut</v>
          </cell>
        </row>
        <row r="166">
          <cell r="A166" t="str">
            <v>ITEM PEMBAYARAN NO.</v>
          </cell>
          <cell r="C166" t="str">
            <v xml:space="preserve">Kapasitas alat   -----&gt;&gt;   diambil </v>
          </cell>
          <cell r="D166" t="str">
            <v>:  3.1 (3)</v>
          </cell>
          <cell r="G166" t="str">
            <v>V</v>
          </cell>
          <cell r="H166">
            <v>400</v>
          </cell>
          <cell r="I166" t="str">
            <v>M2 / Jam</v>
          </cell>
          <cell r="J166" t="str">
            <v>Analisa EI-314</v>
          </cell>
        </row>
        <row r="167">
          <cell r="A167" t="str">
            <v>JENIS PEKERJAAN</v>
          </cell>
          <cell r="C167" t="str">
            <v>Aplikasi Lapis Resap Pengikat rata-rata (Spesifikasi)</v>
          </cell>
          <cell r="D167" t="str">
            <v>:  Galian Struktur Kedalaman 0-2 M</v>
          </cell>
          <cell r="G167" t="str">
            <v>Ap</v>
          </cell>
          <cell r="H167">
            <v>0.4</v>
          </cell>
          <cell r="I167" t="str">
            <v>liter / M2</v>
          </cell>
        </row>
        <row r="168">
          <cell r="A168" t="str">
            <v>SATUAN PEMBAYARAN</v>
          </cell>
          <cell r="C168" t="str">
            <v>Kap. Prod. / jam =</v>
          </cell>
          <cell r="D168" t="str">
            <v>:  M3</v>
          </cell>
          <cell r="G168" t="str">
            <v>Q2</v>
          </cell>
          <cell r="H168" t="str">
            <v xml:space="preserve">         URAIAN ANALISA HARGA SATUAN</v>
          </cell>
          <cell r="I168" t="str">
            <v>liter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J169" t="str">
            <v>Lanjutan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KETERANGAN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</row>
        <row r="173">
          <cell r="A173" t="str">
            <v>ITEM PEMBAYARAN NO.</v>
          </cell>
          <cell r="D173" t="str">
            <v>:  8.5.</v>
          </cell>
          <cell r="J173" t="str">
            <v>Analisa El-85</v>
          </cell>
        </row>
        <row r="174">
          <cell r="A174" t="str">
            <v>JENIS PEKERJAAN</v>
          </cell>
          <cell r="C174" t="str">
            <v>Waktu Siklus</v>
          </cell>
          <cell r="D174" t="str">
            <v>:  Lps. Pondasi Telford ( Minor)</v>
          </cell>
          <cell r="H174" t="str">
            <v xml:space="preserve">         URAIAN ANALISA HARGA SATUAN</v>
          </cell>
          <cell r="J174" t="str">
            <v xml:space="preserve">         URAIAN ANALISA HARGA SATUAN</v>
          </cell>
        </row>
        <row r="175">
          <cell r="A175" t="str">
            <v>SATUAN PEMBAYARAN</v>
          </cell>
          <cell r="C175" t="str">
            <v>- Maju</v>
          </cell>
          <cell r="D175" t="str">
            <v>:  M3</v>
          </cell>
          <cell r="G175" t="str">
            <v>Tb1</v>
          </cell>
          <cell r="H175" t="str">
            <v xml:space="preserve">         URAIAN ANALISA HARGA SATUAN</v>
          </cell>
          <cell r="I175" t="str">
            <v>menit</v>
          </cell>
          <cell r="J175" t="str">
            <v>Lanjutan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</row>
        <row r="177">
          <cell r="A177" t="str">
            <v>No.</v>
          </cell>
          <cell r="C177" t="str">
            <v>- Lain-lain</v>
          </cell>
          <cell r="G177" t="str">
            <v>Tb3</v>
          </cell>
          <cell r="H177">
            <v>0.2</v>
          </cell>
          <cell r="I177" t="str">
            <v>menit</v>
          </cell>
          <cell r="J177" t="str">
            <v>KETERANGAN</v>
          </cell>
        </row>
        <row r="178">
          <cell r="A178" t="str">
            <v>No.</v>
          </cell>
          <cell r="C178" t="str">
            <v>U R A I A N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KETERANGAN</v>
          </cell>
        </row>
        <row r="180">
          <cell r="A180" t="str">
            <v xml:space="preserve">   2.c.</v>
          </cell>
          <cell r="C180" t="str">
            <v>Kapasitas Produksi / Jam   =</v>
          </cell>
          <cell r="E180" t="str">
            <v>V x Fa x 60</v>
          </cell>
          <cell r="G180" t="str">
            <v>Q2</v>
          </cell>
          <cell r="H180">
            <v>57.145099999999999</v>
          </cell>
          <cell r="I180" t="str">
            <v xml:space="preserve">M3 / Jam </v>
          </cell>
        </row>
        <row r="181">
          <cell r="C181" t="str">
            <v>Kap. Prod. / jam =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</row>
        <row r="182">
          <cell r="C182" t="str">
            <v>Dump Truck melayani alat Asphalt Sprayer.</v>
          </cell>
          <cell r="D182" t="str">
            <v>Fk x Ts2</v>
          </cell>
          <cell r="E182" t="str">
            <v>= (Tk x M) : Qt</v>
          </cell>
          <cell r="G182" t="str">
            <v>(L03)</v>
          </cell>
          <cell r="H182">
            <v>1.75</v>
          </cell>
          <cell r="I182" t="str">
            <v>jam</v>
          </cell>
        </row>
        <row r="183">
          <cell r="C183" t="str">
            <v>Koefisien Alat / M3</v>
          </cell>
          <cell r="D183" t="str">
            <v xml:space="preserve"> =  1  :  Q1</v>
          </cell>
          <cell r="E183" t="str">
            <v>= (Tk x Tb) : Qt</v>
          </cell>
          <cell r="G183" t="str">
            <v>-</v>
          </cell>
          <cell r="H183">
            <v>0.27360000000000001</v>
          </cell>
          <cell r="I183" t="str">
            <v>jam</v>
          </cell>
        </row>
        <row r="184">
          <cell r="D184" t="str">
            <v>-  Pekerja</v>
          </cell>
          <cell r="E184" t="str">
            <v>= (Tk x P) : Qt</v>
          </cell>
          <cell r="G184" t="str">
            <v>(L01)</v>
          </cell>
          <cell r="H184">
            <v>17.5</v>
          </cell>
          <cell r="I184" t="str">
            <v>jam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</row>
        <row r="186">
          <cell r="A186" t="str">
            <v xml:space="preserve">   2.b.</v>
          </cell>
          <cell r="C186" t="str">
            <v>TREE WHEEL ROLLER</v>
          </cell>
          <cell r="G186" t="str">
            <v>(E16 )</v>
          </cell>
        </row>
        <row r="187">
          <cell r="A187" t="str">
            <v xml:space="preserve">   3.</v>
          </cell>
          <cell r="C187" t="str">
            <v>Kecepatan rata-rata alat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</row>
        <row r="188">
          <cell r="C188" t="str">
            <v>Lebar efektif pemadatan</v>
          </cell>
          <cell r="D188" t="str">
            <v>=  2  buah</v>
          </cell>
          <cell r="G188" t="str">
            <v>b</v>
          </cell>
          <cell r="H188">
            <v>1.2</v>
          </cell>
          <cell r="I188" t="str">
            <v>M</v>
          </cell>
        </row>
        <row r="189">
          <cell r="A189" t="str">
            <v>5.</v>
          </cell>
          <cell r="C189" t="str">
            <v>Jumlah lintasan</v>
          </cell>
          <cell r="D189" t="str">
            <v>=  2  buah</v>
          </cell>
          <cell r="G189" t="str">
            <v>n</v>
          </cell>
          <cell r="H189">
            <v>8</v>
          </cell>
          <cell r="I189" t="str">
            <v>lintasan</v>
          </cell>
        </row>
        <row r="190">
          <cell r="C190" t="str">
            <v>Faktor Efisiensi alat</v>
          </cell>
          <cell r="G190" t="str">
            <v>Fa</v>
          </cell>
          <cell r="H190">
            <v>0.83</v>
          </cell>
          <cell r="I190" t="str">
            <v>-</v>
          </cell>
        </row>
        <row r="191">
          <cell r="C191" t="str">
            <v>PEREKEMAN ANALISA MASING-MASING HARGA</v>
          </cell>
          <cell r="D191" t="str">
            <v>- Pekerja</v>
          </cell>
          <cell r="G191" t="str">
            <v>P</v>
          </cell>
          <cell r="H191">
            <v>10</v>
          </cell>
          <cell r="I191" t="str">
            <v>orang</v>
          </cell>
        </row>
        <row r="192">
          <cell r="A192" t="str">
            <v xml:space="preserve">   3.</v>
          </cell>
          <cell r="C192" t="str">
            <v>Kap. Prod. / jam =</v>
          </cell>
          <cell r="D192" t="str">
            <v>(v x 1000) x b x t x Fa</v>
          </cell>
          <cell r="G192" t="str">
            <v>Q2</v>
          </cell>
          <cell r="H192">
            <v>37.35</v>
          </cell>
          <cell r="I192" t="str">
            <v>M3</v>
          </cell>
        </row>
        <row r="193">
          <cell r="C193" t="str">
            <v>Produksi menentukan : EXCAVATOR</v>
          </cell>
          <cell r="D193" t="str">
            <v>n</v>
          </cell>
          <cell r="G193" t="str">
            <v>Q1</v>
          </cell>
          <cell r="H193">
            <v>21.164999999999999</v>
          </cell>
          <cell r="I193" t="str">
            <v>M3/Jam</v>
          </cell>
        </row>
        <row r="194">
          <cell r="C194" t="str">
            <v>Koefisien Alat / M3</v>
          </cell>
          <cell r="D194" t="str">
            <v xml:space="preserve"> =  1  :  Q2</v>
          </cell>
          <cell r="G194" t="str">
            <v>(E16)</v>
          </cell>
          <cell r="H194">
            <v>2.6800000000000001E-2</v>
          </cell>
          <cell r="I194" t="str">
            <v>jam</v>
          </cell>
        </row>
        <row r="195">
          <cell r="C195" t="str">
            <v>Kebutuhan tenaga :</v>
          </cell>
          <cell r="D195" t="str">
            <v>- Pekerja</v>
          </cell>
          <cell r="E195" t="str">
            <v>= (Tk x P) : Qt</v>
          </cell>
          <cell r="G195" t="str">
            <v>(L01)</v>
          </cell>
          <cell r="H195">
            <v>3.0099999999999998E-2</v>
          </cell>
          <cell r="I195" t="str">
            <v>Jam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Pekerja</v>
          </cell>
          <cell r="E196" t="str">
            <v>= (Tk x M) : Qt</v>
          </cell>
          <cell r="G196" t="str">
            <v>P</v>
          </cell>
          <cell r="H196">
            <v>2</v>
          </cell>
          <cell r="I196" t="str">
            <v>orang</v>
          </cell>
          <cell r="J196" t="str">
            <v xml:space="preserve"> Lump Sum</v>
          </cell>
        </row>
        <row r="197"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</row>
        <row r="198">
          <cell r="A198" t="str">
            <v>4.</v>
          </cell>
          <cell r="C198" t="str">
            <v>- Kereta dorong</v>
          </cell>
          <cell r="D198" t="str">
            <v>=  2  buah.</v>
          </cell>
        </row>
        <row r="199">
          <cell r="C199" t="str">
            <v>- Sekop</v>
          </cell>
          <cell r="D199" t="str">
            <v>=  3  buah.</v>
          </cell>
        </row>
        <row r="200">
          <cell r="C200" t="str">
            <v>- Garpu</v>
          </cell>
          <cell r="D200" t="str">
            <v>=  2  buah.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</row>
        <row r="201">
          <cell r="A201" t="str">
            <v>5.</v>
          </cell>
          <cell r="C201" t="str">
            <v>ANALISA HARGA SATUAN PEKERJAAN</v>
          </cell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</row>
        <row r="202">
          <cell r="A202" t="str">
            <v xml:space="preserve">   3.</v>
          </cell>
          <cell r="C202" t="str">
            <v>TENAGA</v>
          </cell>
        </row>
        <row r="203">
          <cell r="A203" t="str">
            <v>4.</v>
          </cell>
          <cell r="C203" t="str">
            <v>Produksi menentukan : THREE WHEEL ROLLER</v>
          </cell>
          <cell r="G203" t="str">
            <v>Q2</v>
          </cell>
          <cell r="H203">
            <v>37.35</v>
          </cell>
          <cell r="I203" t="str">
            <v>M3/jam</v>
          </cell>
        </row>
        <row r="204">
          <cell r="C204" t="str">
            <v>Produksi agregat / hari  =  Tk x Q2</v>
          </cell>
          <cell r="G204" t="str">
            <v>Qt</v>
          </cell>
          <cell r="H204">
            <v>261.45</v>
          </cell>
          <cell r="I204" t="str">
            <v>M3</v>
          </cell>
        </row>
        <row r="205">
          <cell r="C205" t="str">
            <v>Kebutuhan tenaga :</v>
          </cell>
        </row>
        <row r="206">
          <cell r="A206" t="str">
            <v>5.</v>
          </cell>
          <cell r="C206" t="str">
            <v>ANALISA HARGA SATUAN PEKERJAAN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</row>
        <row r="207">
          <cell r="C207" t="str">
            <v>Lihat perhitungan dalam FORMULIR STANDAR UNTUK</v>
          </cell>
          <cell r="D207" t="str">
            <v>- Mandor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</row>
        <row r="208">
          <cell r="C208" t="str">
            <v>PEREKEMAN ANALISA MASING-MASING HARGA</v>
          </cell>
        </row>
        <row r="209">
          <cell r="C209" t="str">
            <v>Koefisien tenaga / M3   :</v>
          </cell>
        </row>
        <row r="210">
          <cell r="C210" t="str">
            <v>Didapat Harga Satuan Pekerjaan :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</row>
        <row r="212">
          <cell r="C212" t="str">
            <v xml:space="preserve">Rp.  </v>
          </cell>
          <cell r="D212">
            <v>17731.59</v>
          </cell>
          <cell r="E212" t="str">
            <v xml:space="preserve"> / M3</v>
          </cell>
        </row>
        <row r="213">
          <cell r="A213" t="str">
            <v>4.</v>
          </cell>
          <cell r="C213" t="str">
            <v>HARGA DASAR SATUAN UPAH, BAHAN DAN ALAT</v>
          </cell>
        </row>
        <row r="214">
          <cell r="C214" t="str">
            <v>Lihat lampiran.</v>
          </cell>
        </row>
        <row r="216">
          <cell r="A216" t="str">
            <v>5.</v>
          </cell>
          <cell r="C216" t="str">
            <v>ANALISA HARGA SATUAN PEKERJAAN</v>
          </cell>
        </row>
        <row r="217">
          <cell r="C217" t="str">
            <v>Lihat perhitungan dalam FORMULIR STANDAR UNTUK</v>
          </cell>
        </row>
        <row r="218">
          <cell r="C218" t="str">
            <v>PEREKAMAN ANALISA MASING-MASING HARGA</v>
          </cell>
        </row>
        <row r="219">
          <cell r="C219" t="str">
            <v>SATUAN.</v>
          </cell>
        </row>
        <row r="221">
          <cell r="A221" t="str">
            <v>ITEM PEMBAYARAN NO.</v>
          </cell>
          <cell r="C221" t="str">
            <v>Rp.</v>
          </cell>
          <cell r="D221">
            <v>162447.83999999997</v>
          </cell>
          <cell r="E221" t="str">
            <v xml:space="preserve"> / M3</v>
          </cell>
          <cell r="J221" t="str">
            <v>Analisa EI-315</v>
          </cell>
        </row>
        <row r="222">
          <cell r="A222" t="str">
            <v>JENIS PEKERJAAN</v>
          </cell>
          <cell r="D222" t="str">
            <v>:  Galian Struktur Kedalaman 2-4 M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6">
          <cell r="A226" t="str">
            <v>No.</v>
          </cell>
          <cell r="C226" t="str">
            <v>U R A I A N</v>
          </cell>
          <cell r="G226" t="str">
            <v>KODE</v>
          </cell>
          <cell r="H226" t="str">
            <v>KOEF.</v>
          </cell>
          <cell r="I226" t="str">
            <v>SATUAN</v>
          </cell>
          <cell r="J226" t="str">
            <v>KETERANGAN</v>
          </cell>
        </row>
        <row r="229">
          <cell r="A229" t="str">
            <v>I.</v>
          </cell>
          <cell r="C229" t="str">
            <v>ASUMSI</v>
          </cell>
          <cell r="D229" t="str">
            <v>:  6.3 (4)</v>
          </cell>
          <cell r="J229" t="str">
            <v>Analisa EI-634</v>
          </cell>
        </row>
        <row r="230">
          <cell r="A230">
            <v>1</v>
          </cell>
          <cell r="C230" t="str">
            <v>Pekerjaan dilakukan secara manual</v>
          </cell>
          <cell r="D230" t="str">
            <v>:  Asphalt Treated Base (ATB)</v>
          </cell>
        </row>
        <row r="231">
          <cell r="A231">
            <v>2</v>
          </cell>
          <cell r="C231" t="str">
            <v>Lokasi pekerjaan : sekitar jembatan</v>
          </cell>
          <cell r="D231" t="str">
            <v>:  M3</v>
          </cell>
          <cell r="H231" t="str">
            <v xml:space="preserve">         URAIAN ANALISA HARGA SATUAN</v>
          </cell>
        </row>
        <row r="232">
          <cell r="A232">
            <v>3</v>
          </cell>
          <cell r="C232" t="str">
            <v>Kondisi Jalan   :  sedang / baik</v>
          </cell>
        </row>
      </sheetData>
      <sheetData sheetId="11" refreshError="1">
        <row r="1">
          <cell r="A1" t="str">
            <v>ITEM PEMBAYARAN NO.</v>
          </cell>
          <cell r="D1" t="str">
            <v>:  6.1 (1)</v>
          </cell>
          <cell r="J1" t="str">
            <v>Analisa EI-611</v>
          </cell>
          <cell r="T1" t="str">
            <v>Analisa EI-611</v>
          </cell>
        </row>
        <row r="2">
          <cell r="A2" t="str">
            <v>JENIS PEKERJAAN</v>
          </cell>
          <cell r="D2" t="str">
            <v>:  Lapis Resap Pengikat</v>
          </cell>
        </row>
        <row r="3">
          <cell r="A3" t="str">
            <v>SATUAN PEMBAYARAN</v>
          </cell>
          <cell r="D3" t="str">
            <v>:  LITER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PROYEK</v>
          </cell>
          <cell r="O6" t="str">
            <v>:  Peningkatan Jalan dan Jembatan Wilayah Barat</v>
          </cell>
        </row>
        <row r="7">
          <cell r="L7" t="str">
            <v>No. PAKET KONTRAK</v>
          </cell>
          <cell r="O7" t="str">
            <v xml:space="preserve">: </v>
          </cell>
        </row>
        <row r="8">
          <cell r="L8" t="str">
            <v>PEKERJAAN</v>
          </cell>
          <cell r="O8" t="str">
            <v>:  Pembangunan Jembatan Beton Tersebar di Wilayah Barat</v>
          </cell>
        </row>
        <row r="9">
          <cell r="A9" t="str">
            <v>I.</v>
          </cell>
          <cell r="C9" t="str">
            <v>ASUMSI</v>
          </cell>
          <cell r="L9" t="str">
            <v>KABUPATEN</v>
          </cell>
          <cell r="O9" t="str">
            <v>:  Lampung Timur</v>
          </cell>
        </row>
        <row r="10">
          <cell r="A10">
            <v>1</v>
          </cell>
          <cell r="C10" t="str">
            <v>Menggunakan alat berat (cara mekanik)</v>
          </cell>
          <cell r="L10" t="str">
            <v>ITEM PEMBAYARAN NO.</v>
          </cell>
          <cell r="O10" t="str">
            <v>:  6.1 (1)</v>
          </cell>
        </row>
        <row r="11">
          <cell r="A11">
            <v>2</v>
          </cell>
          <cell r="C11" t="str">
            <v>Lokasi pekerjaan : sepanjang jalan</v>
          </cell>
          <cell r="L11" t="str">
            <v>JENIS PEKERJAAN</v>
          </cell>
          <cell r="O11" t="str">
            <v>:  Lapis Resap Pengikat</v>
          </cell>
        </row>
        <row r="12">
          <cell r="A12">
            <v>3</v>
          </cell>
          <cell r="C12" t="str">
            <v>Jarak rata-rata Base Camp ke lokasi pekerjaan</v>
          </cell>
          <cell r="G12" t="str">
            <v>L</v>
          </cell>
          <cell r="H12">
            <v>1</v>
          </cell>
          <cell r="I12" t="str">
            <v>KM</v>
          </cell>
          <cell r="L12" t="str">
            <v>SATUAN PEMBAYARAN</v>
          </cell>
          <cell r="O12" t="str">
            <v>:  LITER</v>
          </cell>
        </row>
        <row r="13">
          <cell r="A13">
            <v>4</v>
          </cell>
          <cell r="C13" t="str">
            <v>Jam kerja efektif per-hari</v>
          </cell>
          <cell r="G13" t="str">
            <v>Tk</v>
          </cell>
          <cell r="H13">
            <v>7</v>
          </cell>
          <cell r="I13" t="str">
            <v>Jam</v>
          </cell>
          <cell r="L13" t="str">
            <v>JENIS PEKERJAAN</v>
          </cell>
          <cell r="O13" t="str">
            <v>:  Pondasi Agregat Kls. A Untuk  Pek. Minor</v>
          </cell>
        </row>
        <row r="14">
          <cell r="A14">
            <v>5</v>
          </cell>
          <cell r="C14" t="str">
            <v>Faktor kehilangan bahan</v>
          </cell>
          <cell r="G14" t="str">
            <v>Fh</v>
          </cell>
          <cell r="H14">
            <v>1.1000000000000001</v>
          </cell>
          <cell r="I14" t="str">
            <v>-</v>
          </cell>
          <cell r="L14" t="str">
            <v>SATUAN PEMBAYARAN</v>
          </cell>
          <cell r="O14" t="str">
            <v>:  M3</v>
          </cell>
        </row>
        <row r="15">
          <cell r="A15">
            <v>6</v>
          </cell>
          <cell r="C15" t="str">
            <v>Komposisi campuran :</v>
          </cell>
          <cell r="G15" t="str">
            <v>Fk</v>
          </cell>
          <cell r="H15">
            <v>1.6667000000000001</v>
          </cell>
          <cell r="I15" t="str">
            <v>-</v>
          </cell>
          <cell r="Q15" t="str">
            <v>PERKIRAAN</v>
          </cell>
          <cell r="R15" t="str">
            <v>HARGA</v>
          </cell>
          <cell r="S15" t="str">
            <v>JUMLAH</v>
          </cell>
        </row>
        <row r="16">
          <cell r="A16">
            <v>7</v>
          </cell>
          <cell r="C16" t="str">
            <v>- Aspal AC-10 atau AC-20</v>
          </cell>
          <cell r="G16" t="str">
            <v>As</v>
          </cell>
          <cell r="H16">
            <v>56</v>
          </cell>
          <cell r="I16" t="str">
            <v>%</v>
          </cell>
          <cell r="J16" t="str">
            <v xml:space="preserve"> 100 bagian</v>
          </cell>
          <cell r="L16" t="str">
            <v>NO.</v>
          </cell>
          <cell r="N16" t="str">
            <v>KOMPONEN</v>
          </cell>
          <cell r="P16" t="str">
            <v>SATUAN</v>
          </cell>
          <cell r="Q16" t="str">
            <v>KUANTITAS</v>
          </cell>
          <cell r="R16" t="str">
            <v>SATUAN</v>
          </cell>
          <cell r="S16" t="str">
            <v>HARGA</v>
          </cell>
        </row>
        <row r="17">
          <cell r="A17">
            <v>8</v>
          </cell>
          <cell r="C17" t="str">
            <v>- Kerosene</v>
          </cell>
          <cell r="D17" t="str">
            <v>- Pasir urug</v>
          </cell>
          <cell r="G17" t="str">
            <v>K</v>
          </cell>
          <cell r="H17">
            <v>44</v>
          </cell>
          <cell r="I17" t="str">
            <v>%</v>
          </cell>
          <cell r="J17" t="str">
            <v xml:space="preserve"> 80 bagian</v>
          </cell>
          <cell r="Q17" t="str">
            <v>PERKIRAAN</v>
          </cell>
          <cell r="R17" t="str">
            <v>(Rp.)</v>
          </cell>
          <cell r="S17" t="str">
            <v>(Rp.)</v>
          </cell>
        </row>
        <row r="18">
          <cell r="A18">
            <v>7</v>
          </cell>
          <cell r="C18" t="str">
            <v>Berat jenis bahan :</v>
          </cell>
          <cell r="D18" t="str">
            <v>- Batu pecah 10/15</v>
          </cell>
          <cell r="G18" t="str">
            <v>Ah</v>
          </cell>
          <cell r="H18">
            <v>50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- Aspal AC-10 atau AC-20</v>
          </cell>
          <cell r="D19" t="str">
            <v>- Batu pecah 5/7</v>
          </cell>
          <cell r="G19" t="str">
            <v>D1</v>
          </cell>
          <cell r="H19">
            <v>1.05</v>
          </cell>
          <cell r="I19" t="str">
            <v>Kg / liter</v>
          </cell>
          <cell r="R19" t="str">
            <v>(Rp.)</v>
          </cell>
          <cell r="S19" t="str">
            <v>(Rp.)</v>
          </cell>
        </row>
        <row r="20">
          <cell r="A20" t="str">
            <v>II.</v>
          </cell>
          <cell r="C20" t="str">
            <v>- Minyak Flux / Pencair</v>
          </cell>
          <cell r="G20" t="str">
            <v>D2</v>
          </cell>
          <cell r="H20">
            <v>0.8</v>
          </cell>
          <cell r="I20" t="str">
            <v>Kg / liter</v>
          </cell>
          <cell r="L20" t="str">
            <v>A.</v>
          </cell>
          <cell r="N20" t="str">
            <v>TENAGA</v>
          </cell>
        </row>
        <row r="21">
          <cell r="A21">
            <v>8</v>
          </cell>
          <cell r="C21" t="str">
            <v>Bahan dasar (aspal &amp; minyak pencair) semuanya</v>
          </cell>
        </row>
        <row r="22">
          <cell r="A22">
            <v>2</v>
          </cell>
          <cell r="C22" t="str">
            <v>diterima di lokasi pekerjaan</v>
          </cell>
          <cell r="G22" t="str">
            <v>L</v>
          </cell>
          <cell r="H22">
            <v>1</v>
          </cell>
          <cell r="I22" t="str">
            <v>Km</v>
          </cell>
          <cell r="L22" t="str">
            <v>1.</v>
          </cell>
          <cell r="N22" t="str">
            <v>Pekerja</v>
          </cell>
          <cell r="O22" t="str">
            <v>(L01)</v>
          </cell>
          <cell r="P22" t="str">
            <v>Jam</v>
          </cell>
          <cell r="Q22">
            <v>3.0099999999999998E-2</v>
          </cell>
          <cell r="R22">
            <v>2500</v>
          </cell>
          <cell r="U22">
            <v>75.25</v>
          </cell>
        </row>
        <row r="23">
          <cell r="A23">
            <v>2</v>
          </cell>
          <cell r="C23" t="str">
            <v>Dump Truck mengangkut Agregat ke lokasi</v>
          </cell>
          <cell r="L23" t="str">
            <v>2.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3.0000000000000001E-3</v>
          </cell>
          <cell r="R23">
            <v>3571.43</v>
          </cell>
          <cell r="U23">
            <v>10.71</v>
          </cell>
        </row>
        <row r="24">
          <cell r="A24" t="str">
            <v>II.</v>
          </cell>
          <cell r="C24" t="str">
            <v>URUTAN KERJA</v>
          </cell>
          <cell r="L24" t="str">
            <v>1.</v>
          </cell>
          <cell r="N24" t="str">
            <v>Pekerja Biasa</v>
          </cell>
          <cell r="O24" t="str">
            <v>(L01)</v>
          </cell>
          <cell r="P24" t="str">
            <v>jam</v>
          </cell>
          <cell r="Q24">
            <v>0.44619999999999999</v>
          </cell>
          <cell r="R24">
            <v>2500</v>
          </cell>
          <cell r="U24">
            <v>1115.5</v>
          </cell>
        </row>
        <row r="25">
          <cell r="A25">
            <v>1</v>
          </cell>
          <cell r="C25" t="str">
            <v>Aspal dan Minyak Flux dicampur dan dipanaskan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1.78E-2</v>
          </cell>
          <cell r="R25">
            <v>3571.43</v>
          </cell>
          <cell r="U25">
            <v>63.57</v>
          </cell>
        </row>
        <row r="26">
          <cell r="A26">
            <v>4</v>
          </cell>
          <cell r="C26" t="str">
            <v>sehingga menjadi campuran aspal cair</v>
          </cell>
          <cell r="Q26" t="str">
            <v xml:space="preserve">JUMLAH HARGA TENAGA   </v>
          </cell>
          <cell r="U26">
            <v>85.960000000000008</v>
          </cell>
        </row>
        <row r="27">
          <cell r="A27">
            <v>2</v>
          </cell>
          <cell r="C27" t="str">
            <v>Permukaan yang akan dilapis dibersihkan dari debu</v>
          </cell>
        </row>
        <row r="28">
          <cell r="C28" t="str">
            <v>dan kotoran dengan Air Compressor</v>
          </cell>
          <cell r="L28" t="str">
            <v>B.</v>
          </cell>
          <cell r="N28" t="str">
            <v>BAHAN</v>
          </cell>
          <cell r="Q28" t="str">
            <v xml:space="preserve">JUMLAH HARGA TENAGA   </v>
          </cell>
          <cell r="U28">
            <v>1179.07</v>
          </cell>
        </row>
        <row r="29">
          <cell r="A29">
            <v>3</v>
          </cell>
          <cell r="C29" t="str">
            <v>Campuran aspal cair disemprotkan dengan Asphalt</v>
          </cell>
        </row>
        <row r="30">
          <cell r="A30" t="str">
            <v xml:space="preserve">   1.</v>
          </cell>
          <cell r="C30" t="str">
            <v>Sprayer ke atas permukaan yang akan dilapis.</v>
          </cell>
          <cell r="G30" t="str">
            <v>(E10)</v>
          </cell>
          <cell r="L30" t="str">
            <v>1.</v>
          </cell>
          <cell r="N30" t="str">
            <v>Aspal</v>
          </cell>
          <cell r="O30" t="str">
            <v>(M10)</v>
          </cell>
          <cell r="P30" t="str">
            <v>Kg</v>
          </cell>
          <cell r="Q30">
            <v>0.64680000000000004</v>
          </cell>
          <cell r="R30">
            <v>3500</v>
          </cell>
          <cell r="U30">
            <v>2263.8000000000002</v>
          </cell>
        </row>
        <row r="31">
          <cell r="A31">
            <v>4</v>
          </cell>
          <cell r="C31" t="str">
            <v>Angkutan Aspal &amp; Minyak Flux menggunakan Dump Truck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  <cell r="L31" t="str">
            <v>2.</v>
          </cell>
          <cell r="N31" t="str">
            <v>Kerosene</v>
          </cell>
          <cell r="O31" t="str">
            <v>(M11)</v>
          </cell>
          <cell r="P31" t="str">
            <v>liter</v>
          </cell>
          <cell r="Q31">
            <v>0.48399999999999999</v>
          </cell>
          <cell r="R31">
            <v>1500</v>
          </cell>
          <cell r="U31">
            <v>726</v>
          </cell>
        </row>
        <row r="32">
          <cell r="A32" t="str">
            <v xml:space="preserve">   1.</v>
          </cell>
          <cell r="C32" t="str">
            <v>- Batu 10/15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  <cell r="L32" t="str">
            <v>1.</v>
          </cell>
          <cell r="N32" t="str">
            <v>Agregat kasar</v>
          </cell>
          <cell r="O32" t="str">
            <v>(M03)</v>
          </cell>
          <cell r="P32" t="str">
            <v>M3</v>
          </cell>
          <cell r="Q32">
            <v>0.66</v>
          </cell>
          <cell r="R32">
            <v>0</v>
          </cell>
          <cell r="U32">
            <v>0</v>
          </cell>
        </row>
        <row r="33">
          <cell r="A33" t="str">
            <v>III.</v>
          </cell>
          <cell r="C33" t="str">
            <v>PEMAKAIAN BAHAN, ALAT DAN TENAGA</v>
          </cell>
          <cell r="D33" t="str">
            <v>=  St x 1 M3 x Fk</v>
          </cell>
          <cell r="G33" t="str">
            <v>M06.b</v>
          </cell>
          <cell r="H33">
            <v>0.33339999999999997</v>
          </cell>
          <cell r="I33" t="str">
            <v>M3</v>
          </cell>
          <cell r="L33" t="str">
            <v>2.</v>
          </cell>
          <cell r="N33" t="str">
            <v>Agregat halus</v>
          </cell>
          <cell r="O33" t="str">
            <v>(M04)</v>
          </cell>
          <cell r="P33" t="str">
            <v>M3</v>
          </cell>
          <cell r="Q33">
            <v>0.54</v>
          </cell>
          <cell r="R33">
            <v>0</v>
          </cell>
          <cell r="U33">
            <v>0</v>
          </cell>
        </row>
        <row r="34">
          <cell r="A34" t="str">
            <v xml:space="preserve">   2.</v>
          </cell>
          <cell r="C34" t="str">
            <v>ALAT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5">
          <cell r="A35" t="str">
            <v xml:space="preserve">   1.</v>
          </cell>
          <cell r="C35" t="str">
            <v>BAHAN</v>
          </cell>
          <cell r="G35" t="str">
            <v>(E08)</v>
          </cell>
          <cell r="I35" t="str">
            <v>menit</v>
          </cell>
        </row>
        <row r="36">
          <cell r="A36" t="str">
            <v xml:space="preserve">   2.</v>
          </cell>
          <cell r="C36" t="str">
            <v>Untuk mendapatkan 1 liter Lapis Resap Pengikat</v>
          </cell>
          <cell r="G36" t="str">
            <v>V</v>
          </cell>
          <cell r="H36">
            <v>4</v>
          </cell>
          <cell r="I36" t="str">
            <v>M3</v>
          </cell>
          <cell r="Q36" t="str">
            <v xml:space="preserve">JUMLAH HARGA BAHAN   </v>
          </cell>
          <cell r="U36">
            <v>2989.8</v>
          </cell>
        </row>
        <row r="37">
          <cell r="A37" t="str">
            <v xml:space="preserve">   2.a.</v>
          </cell>
          <cell r="C37" t="str">
            <v>diperlukan :</v>
          </cell>
          <cell r="D37" t="str">
            <v>( 1 liter x Fh )</v>
          </cell>
          <cell r="G37" t="str">
            <v>PC</v>
          </cell>
          <cell r="H37">
            <v>1.1000000000000001</v>
          </cell>
          <cell r="I37" t="str">
            <v>liter</v>
          </cell>
          <cell r="J37" t="str">
            <v xml:space="preserve"> campuran</v>
          </cell>
        </row>
        <row r="38">
          <cell r="C38" t="str">
            <v>Kecepatan rata-rata bermuatan</v>
          </cell>
          <cell r="G38" t="str">
            <v>v1</v>
          </cell>
          <cell r="H38">
            <v>40</v>
          </cell>
          <cell r="I38" t="str">
            <v>KM/jam</v>
          </cell>
          <cell r="L38" t="str">
            <v>C.</v>
          </cell>
          <cell r="N38" t="str">
            <v>PERALATAN</v>
          </cell>
          <cell r="Q38" t="str">
            <v xml:space="preserve">JUMLAH HARGA BAHAN   </v>
          </cell>
          <cell r="U38">
            <v>0</v>
          </cell>
        </row>
        <row r="39">
          <cell r="A39" t="str">
            <v xml:space="preserve">   1.a.</v>
          </cell>
          <cell r="C39" t="str">
            <v>Aspal</v>
          </cell>
          <cell r="D39" t="str">
            <v>=   As x PC x D1</v>
          </cell>
          <cell r="G39" t="str">
            <v>(M10)</v>
          </cell>
          <cell r="H39">
            <v>0.64680000000000004</v>
          </cell>
          <cell r="I39" t="str">
            <v>Kg.</v>
          </cell>
        </row>
        <row r="40">
          <cell r="A40" t="str">
            <v xml:space="preserve">   1.b.</v>
          </cell>
          <cell r="C40" t="str">
            <v>Kerosene</v>
          </cell>
          <cell r="D40" t="str">
            <v>=   K x PC</v>
          </cell>
          <cell r="G40" t="str">
            <v>(M11)</v>
          </cell>
          <cell r="H40">
            <v>0.48399999999999999</v>
          </cell>
          <cell r="I40" t="str">
            <v>Liter</v>
          </cell>
          <cell r="L40" t="str">
            <v>1.</v>
          </cell>
          <cell r="N40" t="str">
            <v>Asp. Sprayer</v>
          </cell>
          <cell r="O40" t="str">
            <v>(E03)</v>
          </cell>
          <cell r="P40" t="str">
            <v>Jam</v>
          </cell>
          <cell r="Q40">
            <v>3.0000000000000001E-3</v>
          </cell>
          <cell r="R40">
            <v>24722.73</v>
          </cell>
          <cell r="U40">
            <v>74.17</v>
          </cell>
        </row>
        <row r="41">
          <cell r="C41" t="str">
            <v>- Waktu tempuh isi           =  (L : v1) x 60 menit</v>
          </cell>
          <cell r="D41" t="str">
            <v>Ts1 x Fh</v>
          </cell>
          <cell r="G41" t="str">
            <v>T1</v>
          </cell>
          <cell r="H41">
            <v>1.5</v>
          </cell>
          <cell r="I41" t="str">
            <v>menit</v>
          </cell>
          <cell r="L41" t="str">
            <v>2.</v>
          </cell>
          <cell r="N41" t="str">
            <v>Compressor</v>
          </cell>
          <cell r="O41" t="str">
            <v>(E05)</v>
          </cell>
          <cell r="P41" t="str">
            <v>Jam</v>
          </cell>
          <cell r="Q41">
            <v>3.0999999999999999E-3</v>
          </cell>
          <cell r="R41">
            <v>47770.43</v>
          </cell>
          <cell r="U41">
            <v>148.09</v>
          </cell>
        </row>
        <row r="42">
          <cell r="A42" t="str">
            <v xml:space="preserve">   2.</v>
          </cell>
          <cell r="C42" t="str">
            <v>ALAT</v>
          </cell>
          <cell r="D42" t="str">
            <v xml:space="preserve"> =  1  :  Q1</v>
          </cell>
          <cell r="G42" t="str">
            <v>T2</v>
          </cell>
          <cell r="H42">
            <v>1.2</v>
          </cell>
          <cell r="I42" t="str">
            <v>menit</v>
          </cell>
          <cell r="L42" t="str">
            <v>3.</v>
          </cell>
          <cell r="N42" t="str">
            <v>Dump Truck</v>
          </cell>
          <cell r="O42" t="str">
            <v>(E08)</v>
          </cell>
          <cell r="P42" t="str">
            <v>Jam</v>
          </cell>
          <cell r="Q42">
            <v>3.0000000000000001E-3</v>
          </cell>
          <cell r="R42">
            <v>82267.929999999993</v>
          </cell>
          <cell r="U42">
            <v>246.8</v>
          </cell>
        </row>
        <row r="43">
          <cell r="A43" t="str">
            <v xml:space="preserve">   2.a.</v>
          </cell>
          <cell r="C43" t="str">
            <v>ASPHALT SPRAYER</v>
          </cell>
          <cell r="G43" t="str">
            <v>(E03)</v>
          </cell>
          <cell r="H43">
            <v>20</v>
          </cell>
          <cell r="I43" t="str">
            <v>menit</v>
          </cell>
          <cell r="L43" t="str">
            <v>2.</v>
          </cell>
          <cell r="N43" t="str">
            <v>Dump Truck</v>
          </cell>
          <cell r="O43" t="str">
            <v>(E09)</v>
          </cell>
          <cell r="P43" t="str">
            <v>jam</v>
          </cell>
          <cell r="Q43">
            <v>9.0399999999999994E-2</v>
          </cell>
          <cell r="R43">
            <v>102654.43</v>
          </cell>
          <cell r="U43">
            <v>9279.9599999999991</v>
          </cell>
        </row>
        <row r="44">
          <cell r="A44" t="str">
            <v xml:space="preserve">   2.b.</v>
          </cell>
          <cell r="C44" t="str">
            <v>Kapasitas alat</v>
          </cell>
          <cell r="G44" t="str">
            <v>V</v>
          </cell>
          <cell r="H44">
            <v>800</v>
          </cell>
          <cell r="I44" t="str">
            <v>liter</v>
          </cell>
          <cell r="L44" t="str">
            <v>3.</v>
          </cell>
          <cell r="N44" t="str">
            <v>Pedestrian Roller</v>
          </cell>
          <cell r="O44" t="str">
            <v>(E24)</v>
          </cell>
          <cell r="P44" t="str">
            <v>jam</v>
          </cell>
          <cell r="Q44">
            <v>4.82E-2</v>
          </cell>
          <cell r="R44">
            <v>28134.059999999998</v>
          </cell>
          <cell r="U44">
            <v>1356.06</v>
          </cell>
        </row>
        <row r="45">
          <cell r="C45" t="str">
            <v>Faktor efisiensi alat</v>
          </cell>
          <cell r="G45" t="str">
            <v>Fa</v>
          </cell>
          <cell r="H45">
            <v>0.83</v>
          </cell>
          <cell r="I45" t="str">
            <v>-</v>
          </cell>
          <cell r="L45" t="str">
            <v>4.</v>
          </cell>
          <cell r="N45" t="str">
            <v>Water Tanker</v>
          </cell>
          <cell r="O45" t="str">
            <v>(E23)</v>
          </cell>
          <cell r="P45" t="str">
            <v>jam</v>
          </cell>
          <cell r="Q45">
            <v>2.1100000000000001E-2</v>
          </cell>
          <cell r="R45">
            <v>82267.929999999993</v>
          </cell>
          <cell r="U45">
            <v>1735.85</v>
          </cell>
        </row>
        <row r="46">
          <cell r="C46" t="str">
            <v>Waktu Siklus (termasuk proses pemanasan)</v>
          </cell>
          <cell r="D46" t="str">
            <v>V x Fb x Fa x 60</v>
          </cell>
          <cell r="G46" t="str">
            <v>Ts</v>
          </cell>
          <cell r="H46">
            <v>2</v>
          </cell>
          <cell r="I46" t="str">
            <v>Jam</v>
          </cell>
          <cell r="J46" t="str">
            <v>Berlanjut ke hal. berikut</v>
          </cell>
          <cell r="L46" t="str">
            <v>5.</v>
          </cell>
          <cell r="N46" t="str">
            <v>Alat Bantu</v>
          </cell>
          <cell r="P46" t="str">
            <v>Ls</v>
          </cell>
          <cell r="Q46">
            <v>1</v>
          </cell>
          <cell r="R46">
            <v>2000</v>
          </cell>
          <cell r="U46">
            <v>2000</v>
          </cell>
        </row>
        <row r="47">
          <cell r="C47" t="str">
            <v>Kap. Prod. / jam =</v>
          </cell>
          <cell r="D47" t="str">
            <v>V x Fa</v>
          </cell>
          <cell r="G47" t="str">
            <v>Q1</v>
          </cell>
          <cell r="H47">
            <v>332</v>
          </cell>
          <cell r="I47" t="str">
            <v>liter</v>
          </cell>
        </row>
        <row r="48">
          <cell r="C48" t="str">
            <v>Koefisien Alat / M3</v>
          </cell>
          <cell r="D48" t="str">
            <v>Ts</v>
          </cell>
          <cell r="G48" t="str">
            <v>(E15)</v>
          </cell>
          <cell r="H48">
            <v>1.78E-2</v>
          </cell>
          <cell r="I48" t="str">
            <v>jam</v>
          </cell>
          <cell r="Q48" t="str">
            <v xml:space="preserve">JUMLAH HARGA PERALATAN   </v>
          </cell>
          <cell r="U48">
            <v>469.06</v>
          </cell>
        </row>
        <row r="49">
          <cell r="C49" t="str">
            <v>Koefisien Alat / Ltr</v>
          </cell>
          <cell r="D49" t="str">
            <v xml:space="preserve"> =  1  :  Q1</v>
          </cell>
          <cell r="G49" t="str">
            <v>(E03)</v>
          </cell>
          <cell r="H49">
            <v>3.0000000000000001E-3</v>
          </cell>
          <cell r="I49" t="str">
            <v>Jam</v>
          </cell>
          <cell r="L49" t="str">
            <v>D.</v>
          </cell>
          <cell r="N49" t="str">
            <v>JUMLAH HARGA TENAGA, BAHAN DAN PERALATAN  ( A + B + C )</v>
          </cell>
          <cell r="U49">
            <v>3544.82</v>
          </cell>
        </row>
        <row r="50">
          <cell r="A50" t="str">
            <v xml:space="preserve">   2.b.</v>
          </cell>
          <cell r="C50" t="str">
            <v>DUMP TRUCK</v>
          </cell>
          <cell r="E50" t="str">
            <v>=   (L  :  v1)  x  60</v>
          </cell>
          <cell r="G50" t="str">
            <v>(E09)</v>
          </cell>
          <cell r="H50">
            <v>1.5</v>
          </cell>
          <cell r="I50" t="str">
            <v>menit</v>
          </cell>
          <cell r="L50" t="str">
            <v>E.</v>
          </cell>
          <cell r="N50" t="str">
            <v>OVERHEAD &amp; PROFIT</v>
          </cell>
          <cell r="P50">
            <v>10</v>
          </cell>
          <cell r="Q50" t="str">
            <v>%  x  D</v>
          </cell>
          <cell r="U50">
            <v>354.48</v>
          </cell>
        </row>
        <row r="51">
          <cell r="A51" t="str">
            <v xml:space="preserve">   2.b.</v>
          </cell>
          <cell r="C51" t="str">
            <v>AIR COMPRESSOR</v>
          </cell>
          <cell r="E51" t="str">
            <v>=   (L  :  v2)  x  60</v>
          </cell>
          <cell r="G51" t="str">
            <v>(E05)</v>
          </cell>
          <cell r="H51">
            <v>6</v>
          </cell>
          <cell r="I51" t="str">
            <v>M3</v>
          </cell>
          <cell r="L51" t="str">
            <v>F.</v>
          </cell>
          <cell r="N51" t="str">
            <v>HARGA SATUAN PEKERJAAN  ( D + E )</v>
          </cell>
          <cell r="U51">
            <v>3899.3</v>
          </cell>
        </row>
        <row r="52">
          <cell r="C52" t="str">
            <v xml:space="preserve">Kapasitas alat   -----&gt;&gt;   diambil </v>
          </cell>
          <cell r="E52" t="str">
            <v>=   (V  :  Q1) x 60</v>
          </cell>
          <cell r="G52" t="str">
            <v>V</v>
          </cell>
          <cell r="H52">
            <v>400</v>
          </cell>
          <cell r="I52" t="str">
            <v>M2 / Jam</v>
          </cell>
          <cell r="Q52" t="str">
            <v xml:space="preserve">JUMLAH HARGA PERALATAN   </v>
          </cell>
          <cell r="U52">
            <v>16918.16</v>
          </cell>
        </row>
        <row r="53">
          <cell r="C53" t="str">
            <v>Aplikasi Lapis Resap Pengikat rata-rata (Spesifikasi)</v>
          </cell>
          <cell r="G53" t="str">
            <v>Ap</v>
          </cell>
          <cell r="H53">
            <v>0.8</v>
          </cell>
          <cell r="I53" t="str">
            <v>liter / M2</v>
          </cell>
          <cell r="L53" t="str">
            <v>Note: 1</v>
          </cell>
          <cell r="N53" t="str">
            <v>SATUAN dapat berdasarkan atas jam operasi untuk Tenaga Kerja dan Peralatan, volume dan/atau ukuran berat untuk bahan-bahan</v>
          </cell>
          <cell r="U53">
            <v>18097.23</v>
          </cell>
        </row>
        <row r="54">
          <cell r="C54" t="str">
            <v>Kap. Prod. / jam =</v>
          </cell>
          <cell r="D54" t="str">
            <v>( V x Ap )</v>
          </cell>
          <cell r="G54" t="str">
            <v>Q2</v>
          </cell>
          <cell r="H54">
            <v>320</v>
          </cell>
          <cell r="I54" t="str">
            <v>liter</v>
          </cell>
          <cell r="L54">
            <v>2</v>
          </cell>
          <cell r="N54" t="str">
            <v>Kuantitas satuan adalah kuantitas setiap komponen untuk menyelesaikan satu satuan pekerjaan dari nomor mata pembayaran</v>
          </cell>
          <cell r="P54">
            <v>10</v>
          </cell>
          <cell r="Q54" t="str">
            <v>%  x  D</v>
          </cell>
          <cell r="U54">
            <v>1809.72</v>
          </cell>
        </row>
        <row r="55">
          <cell r="C55" t="str">
            <v>Koefisien Alat / Ltr</v>
          </cell>
          <cell r="D55" t="str">
            <v xml:space="preserve"> =  1  :  Q2</v>
          </cell>
          <cell r="G55" t="str">
            <v>(E05)</v>
          </cell>
          <cell r="H55">
            <v>3.0999999999999999E-3</v>
          </cell>
          <cell r="I55" t="str">
            <v>Jam</v>
          </cell>
          <cell r="J55" t="str">
            <v>Berlanjut ke halaman berikut</v>
          </cell>
          <cell r="L55">
            <v>3</v>
          </cell>
          <cell r="N55" t="str">
            <v>Biaya satuan untuk peralatan sudah termasuk bahan bakar, bahan habis dipakai dan operator.</v>
          </cell>
          <cell r="U55">
            <v>19906.95</v>
          </cell>
        </row>
        <row r="56">
          <cell r="A56" t="str">
            <v>ITEM PEMBAYARAN NO.</v>
          </cell>
          <cell r="C56" t="str">
            <v>- Waktu tempuh isi  =  (L : v1) x 60 menit</v>
          </cell>
          <cell r="D56" t="str">
            <v>:  3.1 (1)</v>
          </cell>
          <cell r="G56" t="str">
            <v>T1</v>
          </cell>
          <cell r="H56">
            <v>1.5</v>
          </cell>
          <cell r="I56" t="str">
            <v>menit</v>
          </cell>
          <cell r="J56" t="str">
            <v>Analisa EI-311</v>
          </cell>
          <cell r="L56">
            <v>4</v>
          </cell>
          <cell r="N56" t="str">
            <v>Biaya satuan sudah termasuk pengeluaran untuk seluruh pajak yang berkaitan (tetapi tidak termasuk PPN yang dibayar dari kontrak )</v>
          </cell>
        </row>
        <row r="57">
          <cell r="A57" t="str">
            <v>ITEM PEMBAYARAN NO.</v>
          </cell>
          <cell r="C57" t="str">
            <v>- Waktu tempuh kosong  =  (L : v2) x 60 menit</v>
          </cell>
          <cell r="D57" t="str">
            <v>:  5.1 (6)</v>
          </cell>
          <cell r="G57" t="str">
            <v>T2</v>
          </cell>
          <cell r="H57">
            <v>1</v>
          </cell>
          <cell r="I57" t="str">
            <v>menit</v>
          </cell>
          <cell r="J57" t="str">
            <v>Berlanjut ke hal. berikut.</v>
          </cell>
          <cell r="L57" t="str">
            <v>Note: 1</v>
          </cell>
          <cell r="N57" t="str">
            <v>dan biaya-biaya lainnya.</v>
          </cell>
        </row>
        <row r="58">
          <cell r="A58" t="str">
            <v>ITEM PEMBAYARAN NO.</v>
          </cell>
          <cell r="C58" t="str">
            <v>- Lain-lain (termasuk dumping setempat-setempat)</v>
          </cell>
          <cell r="D58" t="str">
            <v>:  6.1 (1)</v>
          </cell>
          <cell r="G58" t="str">
            <v>T3</v>
          </cell>
          <cell r="H58">
            <v>20</v>
          </cell>
          <cell r="I58" t="str">
            <v>menit</v>
          </cell>
          <cell r="J58" t="str">
            <v>Analisa EI-611</v>
          </cell>
          <cell r="L58">
            <v>2</v>
          </cell>
          <cell r="N58" t="str">
            <v>Kuantitas satuan adalah kuantitas setiap komponen untuk menyelesaikan satu satuan pekerjaan dari nomor mata pembayaran</v>
          </cell>
          <cell r="T58" t="str">
            <v>Analisa EI-612</v>
          </cell>
        </row>
        <row r="59">
          <cell r="A59" t="str">
            <v>JENIS PEKERJAAN</v>
          </cell>
          <cell r="D59" t="str">
            <v>:  Lapis Resap Pengikat</v>
          </cell>
          <cell r="G59" t="str">
            <v>Ts2</v>
          </cell>
          <cell r="H59" t="str">
            <v xml:space="preserve">         URAIAN ANALISA HARGA SATUAN</v>
          </cell>
          <cell r="I59" t="str">
            <v>menit</v>
          </cell>
          <cell r="J59" t="str">
            <v>Lanjutan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  <cell r="L60" t="str">
            <v>FORMULIR STANDAR UNTUK</v>
          </cell>
          <cell r="N60" t="str">
            <v>Biaya satuan sudah termasuk pengeluaran untuk seluruh pajak yang berkaitan (tetapi tidak termasuk PPN yang dibayar dari ontrak )</v>
          </cell>
        </row>
        <row r="61">
          <cell r="A61" t="str">
            <v>No.</v>
          </cell>
          <cell r="C61" t="str">
            <v>U R A I A N</v>
          </cell>
          <cell r="G61" t="str">
            <v>KODE</v>
          </cell>
          <cell r="H61" t="str">
            <v>KOEF.</v>
          </cell>
          <cell r="I61" t="str">
            <v>SATUAN</v>
          </cell>
          <cell r="J61" t="str">
            <v>Lanjutan</v>
          </cell>
          <cell r="L61" t="str">
            <v>PEREKAMAN ANALISA MASING-MASING HARGA SATUAN</v>
          </cell>
          <cell r="N61" t="str">
            <v>dan biaya-biaya lainnya.</v>
          </cell>
        </row>
        <row r="62">
          <cell r="A62" t="str">
            <v>No.</v>
          </cell>
          <cell r="C62" t="str">
            <v>U R A I A N</v>
          </cell>
          <cell r="D62" t="str">
            <v>:  8.1(1)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KETERANGAN</v>
          </cell>
          <cell r="T62" t="str">
            <v>Analisa EI-812</v>
          </cell>
        </row>
        <row r="63">
          <cell r="A63" t="str">
            <v>No.</v>
          </cell>
          <cell r="C63" t="str">
            <v>U R A I A N</v>
          </cell>
          <cell r="D63" t="str">
            <v>:  Pondasi Agregat Kls. A Untuk Pek Minor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  <cell r="L63" t="str">
            <v>PROYEK</v>
          </cell>
          <cell r="O63" t="str">
            <v>:  Peningkatan Jalan dan Jembatan Wilayah Barat</v>
          </cell>
        </row>
        <row r="64">
          <cell r="A64" t="str">
            <v>SATUAN PEMBAYARAN</v>
          </cell>
          <cell r="C64" t="str">
            <v>Kapasitas Produksi / Jam   =</v>
          </cell>
          <cell r="D64" t="str">
            <v>:  M3</v>
          </cell>
          <cell r="E64" t="str">
            <v>V x Fa x 60</v>
          </cell>
          <cell r="G64" t="str">
            <v>Q2</v>
          </cell>
          <cell r="H64" t="str">
            <v xml:space="preserve">         URAIAN ANALISA HARGA SATUAN</v>
          </cell>
          <cell r="I64" t="str">
            <v xml:space="preserve">M3/Jam </v>
          </cell>
          <cell r="L64" t="str">
            <v>No. PAKET KONTRAK</v>
          </cell>
          <cell r="O64" t="str">
            <v xml:space="preserve">: </v>
          </cell>
        </row>
        <row r="65">
          <cell r="C65" t="str">
            <v>Kap. Prod. / jam =</v>
          </cell>
          <cell r="D65" t="str">
            <v>V x Fa x 60</v>
          </cell>
          <cell r="E65" t="str">
            <v xml:space="preserve">    Fk x Ts2</v>
          </cell>
          <cell r="G65" t="str">
            <v>Q1</v>
          </cell>
          <cell r="H65">
            <v>5.2651000000000003</v>
          </cell>
          <cell r="I65" t="str">
            <v>M3</v>
          </cell>
          <cell r="J65" t="str">
            <v>Lanjutan</v>
          </cell>
          <cell r="L65" t="str">
            <v>PEKERJAAN</v>
          </cell>
          <cell r="O65" t="str">
            <v>:  Pembangunan Jembatan Beton Tersebar di Wilayah Barat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G66" t="str">
            <v>(E08)</v>
          </cell>
          <cell r="L66" t="str">
            <v>KABUPATEN</v>
          </cell>
          <cell r="O66" t="str">
            <v>:  Lampung Timur</v>
          </cell>
        </row>
        <row r="67">
          <cell r="A67" t="str">
            <v>No.</v>
          </cell>
          <cell r="C67" t="str">
            <v>Sebagai alat pengangkut bahan di lokasi pekerjaan,</v>
          </cell>
          <cell r="D67" t="str">
            <v xml:space="preserve"> =  1  :  Q1</v>
          </cell>
          <cell r="G67" t="str">
            <v>-</v>
          </cell>
          <cell r="H67">
            <v>0.18990000000000001</v>
          </cell>
          <cell r="I67" t="str">
            <v>jam</v>
          </cell>
          <cell r="J67" t="str">
            <v>KETERANGAN</v>
          </cell>
          <cell r="L67" t="str">
            <v>ITEM PEMBAYARAN NO.</v>
          </cell>
          <cell r="O67" t="str">
            <v>:  6.1 (2)</v>
          </cell>
        </row>
        <row r="68">
          <cell r="C68" t="str">
            <v>Dump Truck melayani alat Asphalt Sprayer.</v>
          </cell>
          <cell r="D68" t="str">
            <v xml:space="preserve"> =  1  :  Q2</v>
          </cell>
          <cell r="G68" t="str">
            <v>(E08)</v>
          </cell>
          <cell r="H68">
            <v>6.4500000000000002E-2</v>
          </cell>
          <cell r="I68" t="str">
            <v>Jam</v>
          </cell>
          <cell r="L68" t="str">
            <v>JENIS PEKERJAAN</v>
          </cell>
          <cell r="O68" t="str">
            <v>:  Lapis Perekat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  <cell r="L69" t="str">
            <v>SATUAN PEMBAYARAN</v>
          </cell>
          <cell r="O69" t="str">
            <v>:  LITER</v>
          </cell>
        </row>
        <row r="70">
          <cell r="A70" t="str">
            <v xml:space="preserve">   2.b.</v>
          </cell>
          <cell r="C70" t="str">
            <v>TREE WHEEL ROLLER</v>
          </cell>
          <cell r="D70" t="str">
            <v>V x Fa x 60</v>
          </cell>
          <cell r="G70" t="str">
            <v>(E16 )</v>
          </cell>
          <cell r="H70">
            <v>11.066700000000001</v>
          </cell>
          <cell r="I70" t="str">
            <v>M3</v>
          </cell>
          <cell r="L70" t="str">
            <v>No. PAKET KONTRAK</v>
          </cell>
          <cell r="O70" t="str">
            <v xml:space="preserve">: </v>
          </cell>
        </row>
        <row r="71">
          <cell r="A71" t="str">
            <v>2.c.</v>
          </cell>
          <cell r="C71" t="str">
            <v>Koefisien Alat / Ltr</v>
          </cell>
          <cell r="D71" t="str">
            <v xml:space="preserve"> =  1  :  Q3</v>
          </cell>
          <cell r="G71" t="str">
            <v>(E08)</v>
          </cell>
          <cell r="H71">
            <v>3.0000000000000001E-3</v>
          </cell>
          <cell r="I71" t="str">
            <v>Jam</v>
          </cell>
          <cell r="L71" t="str">
            <v>PEKERJAAN</v>
          </cell>
          <cell r="O71" t="str">
            <v>:  Pembangunan Jembatan Beton Tersebar di Wilayah Barat</v>
          </cell>
        </row>
        <row r="72">
          <cell r="C72" t="str">
            <v>Lebar efektif pemadatan</v>
          </cell>
          <cell r="D72" t="str">
            <v xml:space="preserve"> =  1  :  Q2</v>
          </cell>
          <cell r="G72" t="str">
            <v>b</v>
          </cell>
          <cell r="H72">
            <v>1.2</v>
          </cell>
          <cell r="I72" t="str">
            <v>M</v>
          </cell>
          <cell r="J72" t="str">
            <v>Lump Sump</v>
          </cell>
          <cell r="L72" t="str">
            <v>KABUPATEN</v>
          </cell>
          <cell r="O72" t="str">
            <v>:  Lampung Timur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A73" t="str">
            <v xml:space="preserve">   3.</v>
          </cell>
          <cell r="C73" t="str">
            <v>TENAGA</v>
          </cell>
          <cell r="G73" t="str">
            <v>n</v>
          </cell>
          <cell r="H73">
            <v>8</v>
          </cell>
          <cell r="I73" t="str">
            <v>lintasan</v>
          </cell>
          <cell r="L73" t="str">
            <v>NO.</v>
          </cell>
          <cell r="N73" t="str">
            <v>KOMPONEN</v>
          </cell>
          <cell r="O73" t="str">
            <v>:  8.1(2)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A74" t="str">
            <v xml:space="preserve">   2.c.</v>
          </cell>
          <cell r="C74" t="str">
            <v>Produksi menentukan : ASPHALT FINISHER</v>
          </cell>
          <cell r="G74" t="str">
            <v>Q4</v>
          </cell>
          <cell r="H74">
            <v>332</v>
          </cell>
          <cell r="I74" t="str">
            <v>liter</v>
          </cell>
          <cell r="L74" t="str">
            <v>JENIS PEKERJAAN</v>
          </cell>
          <cell r="O74" t="str">
            <v>:  Pondasi Agregat Kls. B Untuk  Pek. Minor</v>
          </cell>
          <cell r="R74" t="str">
            <v>(Rp.)</v>
          </cell>
          <cell r="S74" t="str">
            <v>(Rp.)</v>
          </cell>
        </row>
        <row r="75">
          <cell r="C75" t="str">
            <v>Produksi Lapis Resap Pengikat / hari  =  Tk x Q4</v>
          </cell>
          <cell r="G75" t="str">
            <v>Qt</v>
          </cell>
          <cell r="H75">
            <v>2324</v>
          </cell>
          <cell r="I75" t="str">
            <v>liter</v>
          </cell>
          <cell r="L75" t="str">
            <v>SATUAN PEMBAYARAN</v>
          </cell>
          <cell r="O75" t="str">
            <v>:  M3</v>
          </cell>
        </row>
        <row r="76">
          <cell r="A76" t="str">
            <v xml:space="preserve">   3.</v>
          </cell>
          <cell r="C76" t="str">
            <v>Kebutuhan tenaga :</v>
          </cell>
          <cell r="D76" t="str">
            <v>(v x 1000) x b x t x Fa</v>
          </cell>
          <cell r="G76" t="str">
            <v>Q2</v>
          </cell>
          <cell r="H76">
            <v>37.35</v>
          </cell>
          <cell r="I76" t="str">
            <v>M3</v>
          </cell>
        </row>
        <row r="77">
          <cell r="C77" t="str">
            <v>Jumlah lintasan</v>
          </cell>
          <cell r="D77" t="str">
            <v>- Pekerja</v>
          </cell>
          <cell r="G77" t="str">
            <v>P</v>
          </cell>
          <cell r="H77">
            <v>10</v>
          </cell>
          <cell r="I77" t="str">
            <v>orang</v>
          </cell>
          <cell r="L77" t="str">
            <v>A.</v>
          </cell>
          <cell r="N77" t="str">
            <v>TENAGA</v>
          </cell>
        </row>
        <row r="78">
          <cell r="C78" t="str">
            <v>Koefisien Alat / M3</v>
          </cell>
          <cell r="D78" t="str">
            <v>- Mandor</v>
          </cell>
          <cell r="G78" t="str">
            <v>M</v>
          </cell>
          <cell r="H78">
            <v>1</v>
          </cell>
          <cell r="I78" t="str">
            <v>orang</v>
          </cell>
          <cell r="Q78" t="str">
            <v>PERKIRAAN</v>
          </cell>
          <cell r="R78" t="str">
            <v>HARGA</v>
          </cell>
          <cell r="S78" t="str">
            <v>JUMLAH</v>
          </cell>
        </row>
        <row r="79">
          <cell r="C79" t="str">
            <v>Kebutuhan tenaga :</v>
          </cell>
          <cell r="L79" t="str">
            <v>1.</v>
          </cell>
          <cell r="N79" t="str">
            <v>Pekerja</v>
          </cell>
          <cell r="O79" t="str">
            <v>(L01)</v>
          </cell>
          <cell r="P79" t="str">
            <v>Jam</v>
          </cell>
          <cell r="Q79">
            <v>3.0099999999999998E-2</v>
          </cell>
          <cell r="R79">
            <v>2500</v>
          </cell>
          <cell r="S79" t="str">
            <v>HARGA</v>
          </cell>
          <cell r="U79">
            <v>75.25</v>
          </cell>
        </row>
        <row r="80">
          <cell r="A80" t="str">
            <v xml:space="preserve">   2.c.</v>
          </cell>
          <cell r="C80" t="str">
            <v>Koefisien tenaga / liter   :</v>
          </cell>
          <cell r="D80" t="str">
            <v>(v x 1000) x b x t x Fa</v>
          </cell>
          <cell r="G80" t="str">
            <v>Q3</v>
          </cell>
          <cell r="H80">
            <v>20.75</v>
          </cell>
          <cell r="I80" t="str">
            <v>M3</v>
          </cell>
          <cell r="J80" t="str">
            <v xml:space="preserve"> Lump Sum</v>
          </cell>
          <cell r="L80" t="str">
            <v>2.</v>
          </cell>
          <cell r="N80" t="str">
            <v>Mandor</v>
          </cell>
          <cell r="O80" t="str">
            <v>(L03)</v>
          </cell>
          <cell r="P80" t="str">
            <v>Jam</v>
          </cell>
          <cell r="Q80">
            <v>3.0000000000000001E-3</v>
          </cell>
          <cell r="R80">
            <v>3571.43</v>
          </cell>
          <cell r="S80" t="str">
            <v>(Rp.)</v>
          </cell>
          <cell r="U80">
            <v>10.71</v>
          </cell>
        </row>
        <row r="81">
          <cell r="C81" t="str">
            <v>Diperlukan   :</v>
          </cell>
          <cell r="D81" t="str">
            <v>- Pekerja</v>
          </cell>
          <cell r="E81" t="str">
            <v>= (Tk x P) : Qt</v>
          </cell>
          <cell r="G81" t="str">
            <v>(L01)</v>
          </cell>
          <cell r="H81">
            <v>3.0099999999999998E-2</v>
          </cell>
          <cell r="I81" t="str">
            <v>Jam</v>
          </cell>
        </row>
        <row r="82">
          <cell r="C82" t="str">
            <v>- Kereta dorong</v>
          </cell>
          <cell r="D82" t="str">
            <v>- Mandor</v>
          </cell>
          <cell r="E82" t="str">
            <v>= (Tk x M) : Qt</v>
          </cell>
          <cell r="G82" t="str">
            <v>(L03)</v>
          </cell>
          <cell r="H82">
            <v>3.0000000000000001E-3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  <cell r="L83" t="str">
            <v>A.</v>
          </cell>
          <cell r="N83" t="str">
            <v>TENAGA</v>
          </cell>
          <cell r="Q83" t="str">
            <v xml:space="preserve">JUMLAH HARGA TENAGA   </v>
          </cell>
          <cell r="U83">
            <v>85.960000000000008</v>
          </cell>
        </row>
        <row r="84">
          <cell r="A84" t="str">
            <v>4.</v>
          </cell>
          <cell r="C84" t="str">
            <v>HARGA DASAR SATUAN UPAH, BAHAN DAN ALAT</v>
          </cell>
          <cell r="D84" t="str">
            <v>=  2  buah.</v>
          </cell>
          <cell r="E84" t="str">
            <v>= (Tk x P) : Qt</v>
          </cell>
          <cell r="G84" t="str">
            <v>(E23)</v>
          </cell>
          <cell r="H84">
            <v>6.4299999999999996E-2</v>
          </cell>
          <cell r="I84" t="str">
            <v>Jam</v>
          </cell>
        </row>
        <row r="85">
          <cell r="C85" t="str">
            <v>Lihat lampiran.</v>
          </cell>
          <cell r="D85" t="str">
            <v>- Mandor</v>
          </cell>
          <cell r="E85" t="str">
            <v>= (Tk x M) : Qt</v>
          </cell>
          <cell r="G85" t="str">
            <v>V</v>
          </cell>
          <cell r="H85">
            <v>4</v>
          </cell>
          <cell r="I85" t="str">
            <v>M3</v>
          </cell>
          <cell r="L85" t="str">
            <v>B.</v>
          </cell>
          <cell r="N85" t="str">
            <v>BAHAN</v>
          </cell>
          <cell r="O85" t="str">
            <v>(L01)</v>
          </cell>
          <cell r="P85" t="str">
            <v>jam</v>
          </cell>
          <cell r="Q85">
            <v>0.44619999999999999</v>
          </cell>
          <cell r="R85">
            <v>2500</v>
          </cell>
          <cell r="U85">
            <v>1115.5</v>
          </cell>
        </row>
        <row r="86">
          <cell r="A86" t="str">
            <v xml:space="preserve">   3.</v>
          </cell>
          <cell r="C86" t="str">
            <v>TENAGA</v>
          </cell>
          <cell r="G86" t="str">
            <v>Wc</v>
          </cell>
          <cell r="H86">
            <v>7.0000000000000007E-2</v>
          </cell>
          <cell r="I86" t="str">
            <v>M3</v>
          </cell>
          <cell r="L86" t="str">
            <v>2.</v>
          </cell>
          <cell r="N86" t="str">
            <v>Mandor</v>
          </cell>
          <cell r="O86" t="str">
            <v>(L03)</v>
          </cell>
          <cell r="P86" t="str">
            <v>jam</v>
          </cell>
          <cell r="Q86">
            <v>1.78E-2</v>
          </cell>
          <cell r="R86">
            <v>3571.43</v>
          </cell>
          <cell r="U86">
            <v>63.57</v>
          </cell>
        </row>
        <row r="87">
          <cell r="A87" t="str">
            <v>5.</v>
          </cell>
          <cell r="C87" t="str">
            <v>ANALISA HARGA SATUAN PEKERJAAN</v>
          </cell>
          <cell r="G87" t="str">
            <v>Q2</v>
          </cell>
          <cell r="H87">
            <v>37.35</v>
          </cell>
          <cell r="I87" t="str">
            <v>M3/jam</v>
          </cell>
          <cell r="L87" t="str">
            <v>1.</v>
          </cell>
          <cell r="N87" t="str">
            <v>Aspal</v>
          </cell>
          <cell r="O87" t="str">
            <v>(M10)</v>
          </cell>
          <cell r="P87" t="str">
            <v>Kg</v>
          </cell>
          <cell r="Q87">
            <v>0.88800000000000001</v>
          </cell>
          <cell r="R87">
            <v>3500</v>
          </cell>
          <cell r="U87">
            <v>3108</v>
          </cell>
        </row>
        <row r="88">
          <cell r="C88" t="str">
            <v>Lihat perhitungan dalam FORMULIR STANDAR UNTUK</v>
          </cell>
          <cell r="G88" t="str">
            <v>Qt</v>
          </cell>
          <cell r="H88">
            <v>261.45</v>
          </cell>
          <cell r="I88" t="str">
            <v>M3</v>
          </cell>
          <cell r="L88" t="str">
            <v>2.</v>
          </cell>
          <cell r="N88" t="str">
            <v>Kerosene</v>
          </cell>
          <cell r="O88" t="str">
            <v>(M11)</v>
          </cell>
          <cell r="P88" t="str">
            <v>liter</v>
          </cell>
          <cell r="Q88">
            <v>0.253</v>
          </cell>
          <cell r="R88">
            <v>1500</v>
          </cell>
          <cell r="U88">
            <v>379.5</v>
          </cell>
        </row>
        <row r="89">
          <cell r="C89" t="str">
            <v>PEREKEMAN ANALISA MASING-MASING HARGA</v>
          </cell>
          <cell r="Q89" t="str">
            <v xml:space="preserve">JUMLAH HARGA TENAGA   </v>
          </cell>
          <cell r="U89">
            <v>1179.07</v>
          </cell>
        </row>
        <row r="90">
          <cell r="A90" t="str">
            <v>5.</v>
          </cell>
          <cell r="C90" t="str">
            <v>SATUAN.</v>
          </cell>
          <cell r="D90" t="str">
            <v>- Pekerja</v>
          </cell>
          <cell r="G90" t="str">
            <v>P</v>
          </cell>
          <cell r="H90">
            <v>150</v>
          </cell>
          <cell r="I90" t="str">
            <v>orang</v>
          </cell>
        </row>
        <row r="91">
          <cell r="C91" t="str">
            <v>Didapat Harga Satuan Pekerjaan :</v>
          </cell>
          <cell r="D91" t="str">
            <v>- Mandor</v>
          </cell>
          <cell r="G91" t="str">
            <v>M</v>
          </cell>
          <cell r="H91">
            <v>4</v>
          </cell>
          <cell r="I91" t="str">
            <v>orang</v>
          </cell>
          <cell r="L91" t="str">
            <v>B.</v>
          </cell>
          <cell r="N91" t="str">
            <v>BAHAN</v>
          </cell>
        </row>
        <row r="92">
          <cell r="C92" t="str">
            <v>Koefisien Alat / M3</v>
          </cell>
          <cell r="D92" t="str">
            <v xml:space="preserve"> =  1  :  Q4</v>
          </cell>
          <cell r="G92" t="str">
            <v>(E23)</v>
          </cell>
          <cell r="H92">
            <v>2.1100000000000001E-2</v>
          </cell>
          <cell r="I92" t="str">
            <v>jam</v>
          </cell>
        </row>
        <row r="93">
          <cell r="C93" t="str">
            <v xml:space="preserve">Rp.  </v>
          </cell>
          <cell r="D93">
            <v>3899.3</v>
          </cell>
          <cell r="E93" t="str">
            <v xml:space="preserve"> / liter.</v>
          </cell>
          <cell r="L93" t="str">
            <v>1.</v>
          </cell>
          <cell r="N93" t="str">
            <v xml:space="preserve">Agregat Kasar    </v>
          </cell>
          <cell r="O93" t="str">
            <v>(M03)</v>
          </cell>
          <cell r="P93" t="str">
            <v>M3</v>
          </cell>
          <cell r="Q93" t="str">
            <v xml:space="preserve">JUMLAH HARGA BAHAN   </v>
          </cell>
          <cell r="R93">
            <v>0</v>
          </cell>
          <cell r="U93">
            <v>3487.5</v>
          </cell>
        </row>
        <row r="94">
          <cell r="A94" t="str">
            <v xml:space="preserve">   2.e.</v>
          </cell>
          <cell r="C94" t="str">
            <v>ALAT BANTU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J94" t="str">
            <v xml:space="preserve"> Lump Sum</v>
          </cell>
          <cell r="L94" t="str">
            <v>2.</v>
          </cell>
          <cell r="N94" t="str">
            <v xml:space="preserve">Agregat Halus  </v>
          </cell>
          <cell r="O94" t="str">
            <v>(M04)</v>
          </cell>
          <cell r="P94" t="str">
            <v>M3</v>
          </cell>
          <cell r="Q94">
            <v>0.36</v>
          </cell>
          <cell r="R94">
            <v>0</v>
          </cell>
          <cell r="U94">
            <v>0</v>
          </cell>
        </row>
        <row r="95">
          <cell r="C95" t="str">
            <v>Diperlukan  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C.</v>
          </cell>
          <cell r="N95" t="str">
            <v>PERALATAN</v>
          </cell>
          <cell r="O95" t="str">
            <v>(M16)</v>
          </cell>
          <cell r="P95" t="str">
            <v>M3</v>
          </cell>
          <cell r="Q95">
            <v>0.36</v>
          </cell>
          <cell r="R95">
            <v>2800</v>
          </cell>
          <cell r="U95">
            <v>1008</v>
          </cell>
        </row>
        <row r="96">
          <cell r="C96" t="str">
            <v>- Kereta dorong</v>
          </cell>
          <cell r="D96" t="str">
            <v>= 5 buah</v>
          </cell>
          <cell r="E96" t="str">
            <v xml:space="preserve"> / M3</v>
          </cell>
        </row>
        <row r="97">
          <cell r="A97" t="str">
            <v>4.</v>
          </cell>
          <cell r="C97" t="str">
            <v>HARGA DASAR SATUAN UPAH, BAHAN DAN ALAT</v>
          </cell>
          <cell r="D97" t="str">
            <v>= 10 buah</v>
          </cell>
          <cell r="L97" t="str">
            <v>1.</v>
          </cell>
          <cell r="N97" t="str">
            <v>Asp. Sprayer</v>
          </cell>
          <cell r="O97" t="str">
            <v>(E03)</v>
          </cell>
          <cell r="P97" t="str">
            <v>Jam</v>
          </cell>
          <cell r="Q97">
            <v>3.0000000000000001E-3</v>
          </cell>
          <cell r="R97">
            <v>24722.73</v>
          </cell>
          <cell r="U97">
            <v>74.17</v>
          </cell>
        </row>
        <row r="98">
          <cell r="C98" t="str">
            <v>Lihat lampiran.</v>
          </cell>
          <cell r="D98" t="str">
            <v>= 10 buah</v>
          </cell>
          <cell r="L98" t="str">
            <v>2.</v>
          </cell>
          <cell r="N98" t="str">
            <v>Compressor</v>
          </cell>
          <cell r="O98" t="str">
            <v>(E05)</v>
          </cell>
          <cell r="P98" t="str">
            <v>Jam</v>
          </cell>
          <cell r="Q98">
            <v>6.3E-3</v>
          </cell>
          <cell r="R98">
            <v>47770.43</v>
          </cell>
          <cell r="U98">
            <v>300.95</v>
          </cell>
        </row>
        <row r="99">
          <cell r="L99" t="str">
            <v>3.</v>
          </cell>
          <cell r="N99" t="str">
            <v>Dump Truck</v>
          </cell>
          <cell r="O99" t="str">
            <v>(E08)</v>
          </cell>
          <cell r="P99" t="str">
            <v>Jam</v>
          </cell>
          <cell r="Q99">
            <v>3.0000000000000001E-3</v>
          </cell>
          <cell r="R99">
            <v>82267.929999999993</v>
          </cell>
          <cell r="U99">
            <v>246.8</v>
          </cell>
        </row>
        <row r="100">
          <cell r="A100" t="str">
            <v>5.</v>
          </cell>
          <cell r="C100" t="str">
            <v>ANALISA HARGA SATUAN PEKERJAAN</v>
          </cell>
        </row>
        <row r="101">
          <cell r="C101" t="str">
            <v>Lihat perhitungan dalam FORMULIR STANDAR UNTUK</v>
          </cell>
          <cell r="G101" t="str">
            <v>Q1</v>
          </cell>
          <cell r="H101">
            <v>56.024999999999999</v>
          </cell>
          <cell r="I101" t="str">
            <v>M3/jam</v>
          </cell>
          <cell r="L101" t="str">
            <v>C.</v>
          </cell>
          <cell r="N101" t="str">
            <v>PERALATAN</v>
          </cell>
        </row>
        <row r="102">
          <cell r="C102" t="str">
            <v>PEREKAMAN ANALISA MASING-MASING HARGA</v>
          </cell>
          <cell r="G102" t="str">
            <v>Qt</v>
          </cell>
          <cell r="H102">
            <v>392.17500000000001</v>
          </cell>
          <cell r="I102" t="str">
            <v>M3</v>
          </cell>
        </row>
        <row r="103">
          <cell r="C103" t="str">
            <v>SATUAN.</v>
          </cell>
          <cell r="L103" t="str">
            <v>1.</v>
          </cell>
          <cell r="N103" t="str">
            <v>Wheel Loader</v>
          </cell>
          <cell r="O103" t="str">
            <v>(E15)</v>
          </cell>
          <cell r="P103" t="str">
            <v>jam</v>
          </cell>
          <cell r="Q103">
            <v>1.78E-2</v>
          </cell>
          <cell r="R103">
            <v>143049.93</v>
          </cell>
          <cell r="U103">
            <v>2546.29</v>
          </cell>
        </row>
        <row r="104">
          <cell r="C104" t="str">
            <v>Didapat Harga Satuan Pekerjaan :</v>
          </cell>
          <cell r="D104" t="str">
            <v>- Pekerja</v>
          </cell>
          <cell r="G104" t="str">
            <v>P</v>
          </cell>
          <cell r="H104">
            <v>25</v>
          </cell>
          <cell r="I104" t="str">
            <v>orang</v>
          </cell>
          <cell r="L104" t="str">
            <v>2.</v>
          </cell>
          <cell r="N104" t="str">
            <v>Dump Truck</v>
          </cell>
          <cell r="O104" t="str">
            <v>(E09)</v>
          </cell>
          <cell r="P104" t="str">
            <v>jam</v>
          </cell>
          <cell r="Q104">
            <v>9.0399999999999994E-2</v>
          </cell>
          <cell r="R104">
            <v>102654.43</v>
          </cell>
          <cell r="U104">
            <v>9279.9599999999991</v>
          </cell>
        </row>
        <row r="105">
          <cell r="D105" t="str">
            <v>- Mandor</v>
          </cell>
          <cell r="G105" t="str">
            <v>M</v>
          </cell>
          <cell r="H105">
            <v>1</v>
          </cell>
          <cell r="I105" t="str">
            <v>orang</v>
          </cell>
          <cell r="L105" t="str">
            <v>3.</v>
          </cell>
          <cell r="N105" t="str">
            <v xml:space="preserve">Pedestrian Roller </v>
          </cell>
          <cell r="O105" t="str">
            <v>(E24)</v>
          </cell>
          <cell r="P105" t="str">
            <v>jam</v>
          </cell>
          <cell r="Q105" t="str">
            <v xml:space="preserve">JUMLAH HARGA PERALATAN   </v>
          </cell>
          <cell r="R105">
            <v>28134.059999999998</v>
          </cell>
          <cell r="U105">
            <v>621.92000000000007</v>
          </cell>
        </row>
        <row r="106">
          <cell r="L106" t="str">
            <v>D.</v>
          </cell>
          <cell r="N106" t="str">
            <v>JUMLAH HARGA TENAGA, BAHAN DAN PERALATAN  ( A + B + C )</v>
          </cell>
          <cell r="O106" t="str">
            <v>(E23)</v>
          </cell>
          <cell r="P106" t="str">
            <v>jam</v>
          </cell>
          <cell r="Q106">
            <v>2.1100000000000001E-2</v>
          </cell>
          <cell r="R106">
            <v>82267.929999999993</v>
          </cell>
          <cell r="U106">
            <v>4195.38</v>
          </cell>
        </row>
        <row r="107">
          <cell r="C107" t="str">
            <v>Rp.</v>
          </cell>
          <cell r="D107">
            <v>154031.97</v>
          </cell>
          <cell r="E107" t="str">
            <v xml:space="preserve"> / M3</v>
          </cell>
          <cell r="L107" t="str">
            <v>E.</v>
          </cell>
          <cell r="N107" t="str">
            <v>OVERHEAD &amp; PROFIT</v>
          </cell>
          <cell r="P107">
            <v>10</v>
          </cell>
          <cell r="Q107" t="str">
            <v>%  x  D</v>
          </cell>
          <cell r="R107">
            <v>2000</v>
          </cell>
          <cell r="U107">
            <v>419.54</v>
          </cell>
        </row>
        <row r="108">
          <cell r="D108" t="str">
            <v>- Pekerja</v>
          </cell>
          <cell r="E108" t="str">
            <v>= (Tk x P) : Qt</v>
          </cell>
          <cell r="G108" t="str">
            <v>(L01)</v>
          </cell>
          <cell r="H108">
            <v>0.44619999999999999</v>
          </cell>
          <cell r="I108" t="str">
            <v>jam</v>
          </cell>
          <cell r="L108" t="str">
            <v>F.</v>
          </cell>
          <cell r="N108" t="str">
            <v>HARGA SATUAN PEKERJAAN  ( D + E )</v>
          </cell>
          <cell r="U108">
            <v>4614.92</v>
          </cell>
        </row>
        <row r="109">
          <cell r="D109" t="str">
            <v>- Mandor</v>
          </cell>
          <cell r="E109" t="str">
            <v>= (Tk x M) : Qt</v>
          </cell>
          <cell r="G109" t="str">
            <v>(L03)</v>
          </cell>
          <cell r="H109">
            <v>1.78E-2</v>
          </cell>
          <cell r="I109" t="str">
            <v>jam</v>
          </cell>
        </row>
        <row r="110">
          <cell r="L110" t="str">
            <v>Note: 1</v>
          </cell>
          <cell r="N110" t="str">
            <v>SATUAN dapat berdasarkan atas jam operasi untuk Tenaga Kerja dan Peralatan, volume dan/atau ukuran berat untuk bahan-bahan</v>
          </cell>
          <cell r="Q110" t="str">
            <v xml:space="preserve">JUMLAH HARGA PERALATAN   </v>
          </cell>
          <cell r="U110">
            <v>16577.739999999998</v>
          </cell>
        </row>
        <row r="111">
          <cell r="A111" t="str">
            <v>ITEM PEMBAYARAN NO.</v>
          </cell>
          <cell r="D111" t="str">
            <v>:  3.1 (3)</v>
          </cell>
          <cell r="J111" t="str">
            <v>Analisa EI-314</v>
          </cell>
          <cell r="L111">
            <v>2</v>
          </cell>
          <cell r="N111" t="str">
            <v>Kuantitas satuan adalah kuantitas setiap komponen untuk menyelesaikan satu satuan pekerjaan dari nomor mata pembayaran</v>
          </cell>
          <cell r="U111">
            <v>18764.809999999998</v>
          </cell>
        </row>
        <row r="112">
          <cell r="A112" t="str">
            <v>JENIS PEKERJAAN</v>
          </cell>
          <cell r="D112" t="str">
            <v>:  Galian Struktur Kedalaman 0-2 M</v>
          </cell>
          <cell r="L112">
            <v>3</v>
          </cell>
          <cell r="N112" t="str">
            <v>Biaya satuan untuk peralatan sudah termasuk bahan bakar, bahan habis dipakai dan operator.</v>
          </cell>
          <cell r="P112">
            <v>10</v>
          </cell>
          <cell r="Q112" t="str">
            <v>%  x  D</v>
          </cell>
          <cell r="U112">
            <v>1876.48</v>
          </cell>
        </row>
        <row r="113">
          <cell r="A113" t="str">
            <v>SATUAN PEMBAYARAN</v>
          </cell>
          <cell r="D113" t="str">
            <v>:  M3</v>
          </cell>
          <cell r="H113" t="str">
            <v xml:space="preserve">         URAIAN ANALISA HARGA SATUAN</v>
          </cell>
          <cell r="L113">
            <v>4</v>
          </cell>
          <cell r="N113" t="str">
            <v>Biaya satuan sudah termasuk pengeluaran untuk seluruh pajak yang berkaitan (tetapi tidak termasuk PPN yang dibayar dari kontrak )</v>
          </cell>
          <cell r="U113">
            <v>20641.289999999997</v>
          </cell>
        </row>
        <row r="114">
          <cell r="N114" t="str">
            <v>dan biaya-biaya lainnya.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  <cell r="L115" t="str">
            <v>Note: 1</v>
          </cell>
          <cell r="N115" t="str">
            <v>SATUAN dapat berdasarkan atas jam operasi untuk Tenaga Kerja dan Peralatan, volume dan/atau ukuran berat untuk bahan</v>
          </cell>
          <cell r="T115" t="str">
            <v>Analisa EI-634</v>
          </cell>
        </row>
        <row r="116">
          <cell r="A116" t="str">
            <v>JENIS PEKERJAAN</v>
          </cell>
          <cell r="C116" t="str">
            <v>U R A I A N</v>
          </cell>
          <cell r="D116" t="str">
            <v>:  Lapis Perekat</v>
          </cell>
          <cell r="G116" t="str">
            <v>KODE</v>
          </cell>
          <cell r="H116" t="str">
            <v>KOEF.</v>
          </cell>
          <cell r="I116" t="str">
            <v>SATUAN</v>
          </cell>
          <cell r="J116" t="str">
            <v>Analisa El-85</v>
          </cell>
          <cell r="L116">
            <v>2</v>
          </cell>
          <cell r="N116" t="str">
            <v>Kuantitas satuan adalah kuantitas setiap komponen untuk menyelesaikan satu satuan pekerjaan dari nomor mata pembayaran</v>
          </cell>
        </row>
        <row r="117">
          <cell r="A117" t="str">
            <v>SATUAN PEMBAYARAN</v>
          </cell>
          <cell r="D117" t="str">
            <v>:  LITER</v>
          </cell>
          <cell r="H117" t="str">
            <v xml:space="preserve">         URAIAN ANALISA HARGA SATUAN</v>
          </cell>
          <cell r="L117" t="str">
            <v>FORMULIR STANDAR UNTUK</v>
          </cell>
          <cell r="N117" t="str">
            <v>Biaya satuan untuk peralatan sudah termasuk bahan bakar, bahan habis dipakai dan operator.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  <cell r="L118" t="str">
            <v>PEREKAMAN ANALISA MASING-MASING HARGA SATUAN</v>
          </cell>
          <cell r="N118" t="str">
            <v>Biaya satuan sudah termasuk pengeluaran untuk seluruh pajak yang berkaitan (tetapi tidak termasuk PPN yang dibayar dari ontrak )</v>
          </cell>
        </row>
        <row r="119">
          <cell r="A119" t="str">
            <v>I.</v>
          </cell>
          <cell r="C119" t="str">
            <v>ASUMSI</v>
          </cell>
          <cell r="J119" t="str">
            <v>Berlanjut ke halaman berikut</v>
          </cell>
        </row>
        <row r="120">
          <cell r="A120" t="str">
            <v>No.</v>
          </cell>
          <cell r="C120" t="str">
            <v>U R A I A N</v>
          </cell>
          <cell r="D120" t="str">
            <v>:  8.1(1)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KETERANGAN</v>
          </cell>
          <cell r="L120" t="str">
            <v>PROYEK</v>
          </cell>
          <cell r="O120" t="str">
            <v>:  Peningkatan Jalan dan Jembatan Wilayah Barat</v>
          </cell>
          <cell r="T120" t="str">
            <v>Analisa EI-817</v>
          </cell>
        </row>
        <row r="121">
          <cell r="A121" t="str">
            <v>No.</v>
          </cell>
          <cell r="C121" t="str">
            <v>U R A I A N</v>
          </cell>
          <cell r="D121" t="str">
            <v>:  Pondasi Agregat Kls. A Untuk Pek Minor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  <cell r="L121" t="str">
            <v>No. PAKET KONTRAK</v>
          </cell>
          <cell r="O121" t="str">
            <v xml:space="preserve">: </v>
          </cell>
        </row>
        <row r="122">
          <cell r="A122" t="str">
            <v>SATUAN PEMBAYARAN</v>
          </cell>
          <cell r="C122" t="str">
            <v>Kondisi Jalan   :  sedang / baik</v>
          </cell>
          <cell r="D122" t="str">
            <v>:  M3</v>
          </cell>
          <cell r="H122" t="str">
            <v xml:space="preserve">         URAIAN ANALISA HARGA SATUAN</v>
          </cell>
          <cell r="L122" t="str">
            <v>PEKERJAAN</v>
          </cell>
          <cell r="O122" t="str">
            <v>:  Pembangunan Jembatan Beton Tersebar di Wilayah Barat</v>
          </cell>
        </row>
        <row r="123">
          <cell r="A123" t="str">
            <v>I.</v>
          </cell>
          <cell r="C123" t="str">
            <v>ASUMSI</v>
          </cell>
          <cell r="G123" t="str">
            <v>Tk</v>
          </cell>
          <cell r="H123">
            <v>7</v>
          </cell>
          <cell r="I123" t="str">
            <v>Jam</v>
          </cell>
          <cell r="J123" t="str">
            <v>Lanjutan</v>
          </cell>
          <cell r="L123" t="str">
            <v>KABUPATEN</v>
          </cell>
          <cell r="O123" t="str">
            <v>:  Lampung Timur</v>
          </cell>
        </row>
        <row r="124">
          <cell r="A124">
            <v>1</v>
          </cell>
          <cell r="C124" t="str">
            <v>Menggunakan alat berat (cara mekanik)</v>
          </cell>
          <cell r="G124" t="str">
            <v>Fh</v>
          </cell>
          <cell r="H124">
            <v>1.2</v>
          </cell>
          <cell r="I124" t="str">
            <v>-</v>
          </cell>
          <cell r="L124" t="str">
            <v>ITEM PEMBAYARAN NO.</v>
          </cell>
          <cell r="O124" t="str">
            <v>:  6.3 (4)</v>
          </cell>
        </row>
        <row r="125">
          <cell r="A125">
            <v>2</v>
          </cell>
          <cell r="C125" t="str">
            <v>Lokasi pekerjaan : sepanjang jalan</v>
          </cell>
          <cell r="G125" t="str">
            <v>KODE</v>
          </cell>
          <cell r="H125" t="str">
            <v>KOEF.</v>
          </cell>
          <cell r="I125" t="str">
            <v>SATUAN</v>
          </cell>
          <cell r="J125" t="str">
            <v>KETERANGAN</v>
          </cell>
          <cell r="L125" t="str">
            <v>JENIS PEKERJAAN</v>
          </cell>
          <cell r="O125" t="str">
            <v>:  Asphalt Treated Base (ATB)</v>
          </cell>
        </row>
        <row r="126">
          <cell r="A126">
            <v>3</v>
          </cell>
          <cell r="C126" t="str">
            <v>Jarak rata-rata Base Camp ke lokasi pekerjaan</v>
          </cell>
          <cell r="G126" t="str">
            <v>L</v>
          </cell>
          <cell r="H126">
            <v>1</v>
          </cell>
          <cell r="I126" t="str">
            <v>KM</v>
          </cell>
          <cell r="L126" t="str">
            <v>SATUAN PEMBAYARAN</v>
          </cell>
          <cell r="O126" t="str">
            <v>:  M3</v>
          </cell>
        </row>
        <row r="127">
          <cell r="A127">
            <v>4</v>
          </cell>
          <cell r="C127" t="str">
            <v>Jam kerja efektif per-hari</v>
          </cell>
          <cell r="G127" t="str">
            <v>Tk</v>
          </cell>
          <cell r="H127">
            <v>7</v>
          </cell>
          <cell r="I127" t="str">
            <v>Jam</v>
          </cell>
          <cell r="L127" t="str">
            <v>No. PAKET KONTRAK</v>
          </cell>
          <cell r="O127" t="str">
            <v xml:space="preserve">: </v>
          </cell>
        </row>
        <row r="128">
          <cell r="A128">
            <v>5</v>
          </cell>
          <cell r="C128" t="str">
            <v>Faktor kehilangan bahan</v>
          </cell>
          <cell r="G128" t="str">
            <v>Fh</v>
          </cell>
          <cell r="H128">
            <v>1.1000000000000001</v>
          </cell>
          <cell r="I128" t="str">
            <v>-</v>
          </cell>
          <cell r="L128" t="str">
            <v>PEKERJAAN</v>
          </cell>
          <cell r="O128" t="str">
            <v>:  Pembangunan Jembatan Beton Tersebar di Wilayah Barat</v>
          </cell>
        </row>
        <row r="129">
          <cell r="A129">
            <v>6</v>
          </cell>
          <cell r="C129" t="str">
            <v>Komposisi campuran  (Spesifikasi)  :</v>
          </cell>
          <cell r="G129" t="str">
            <v>t</v>
          </cell>
          <cell r="H129">
            <v>0.15</v>
          </cell>
          <cell r="I129" t="str">
            <v>M</v>
          </cell>
          <cell r="L129" t="str">
            <v>KABUPATEN</v>
          </cell>
          <cell r="O129" t="str">
            <v>:  Lampung Timur</v>
          </cell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A130">
            <v>6</v>
          </cell>
          <cell r="C130" t="str">
            <v>- Aspal AC-10 atau AC-20</v>
          </cell>
          <cell r="G130" t="str">
            <v>As</v>
          </cell>
          <cell r="H130">
            <v>77</v>
          </cell>
          <cell r="I130" t="str">
            <v>%</v>
          </cell>
          <cell r="J130" t="str">
            <v xml:space="preserve"> 100 bagian</v>
          </cell>
          <cell r="L130" t="str">
            <v>NO.</v>
          </cell>
          <cell r="N130" t="str">
            <v>KOMPONEN</v>
          </cell>
          <cell r="O130" t="str">
            <v>:  8.1 (7)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A131">
            <v>7</v>
          </cell>
          <cell r="C131" t="str">
            <v>- Minyak Flux / Pencair</v>
          </cell>
          <cell r="G131" t="str">
            <v>K</v>
          </cell>
          <cell r="H131">
            <v>23</v>
          </cell>
          <cell r="I131" t="str">
            <v>%</v>
          </cell>
          <cell r="J131" t="str">
            <v xml:space="preserve"> 30 bagian</v>
          </cell>
          <cell r="L131" t="str">
            <v>JENIS PEKERJAAN</v>
          </cell>
          <cell r="O131" t="str">
            <v>:  Penetrasi Macadam Utk.Pek.Minor</v>
          </cell>
          <cell r="R131" t="str">
            <v>(Rp.)</v>
          </cell>
          <cell r="S131" t="str">
            <v>(Rp.)</v>
          </cell>
        </row>
        <row r="132">
          <cell r="A132">
            <v>7</v>
          </cell>
          <cell r="C132" t="str">
            <v>Berat jenis bahan :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  <cell r="L132" t="str">
            <v>SATUAN PEMBAYARAN</v>
          </cell>
          <cell r="O132" t="str">
            <v>:  M3</v>
          </cell>
        </row>
        <row r="133">
          <cell r="A133" t="str">
            <v>III.</v>
          </cell>
          <cell r="C133" t="str">
            <v>- Aspal AC-10 atau AC-20</v>
          </cell>
          <cell r="D133" t="str">
            <v>- Batu pecah 10/15</v>
          </cell>
          <cell r="G133" t="str">
            <v>D1</v>
          </cell>
          <cell r="H133">
            <v>1.0484</v>
          </cell>
          <cell r="I133" t="str">
            <v>Kg / liter</v>
          </cell>
        </row>
        <row r="134">
          <cell r="C134" t="str">
            <v>- Kerosene</v>
          </cell>
          <cell r="D134" t="str">
            <v>- Batu pecah 5/7</v>
          </cell>
          <cell r="G134" t="str">
            <v>D2</v>
          </cell>
          <cell r="H134">
            <v>0.8</v>
          </cell>
          <cell r="I134" t="str">
            <v>Kg / liter</v>
          </cell>
          <cell r="L134" t="str">
            <v>A.</v>
          </cell>
          <cell r="N134" t="str">
            <v>TENAGA</v>
          </cell>
        </row>
        <row r="135">
          <cell r="A135">
            <v>8</v>
          </cell>
          <cell r="C135" t="str">
            <v>Bahan dasar (aspal &amp; minyak pencair) semuanya</v>
          </cell>
          <cell r="Q135" t="str">
            <v>PERKIRAAN</v>
          </cell>
          <cell r="R135" t="str">
            <v>HARGA</v>
          </cell>
          <cell r="S135" t="str">
            <v>JUMLAH</v>
          </cell>
        </row>
        <row r="136">
          <cell r="A136">
            <v>1</v>
          </cell>
          <cell r="C136" t="str">
            <v>diterima di lokasi pekerjaan</v>
          </cell>
          <cell r="E136" t="str">
            <v>= Uk x 1M3</v>
          </cell>
          <cell r="G136" t="str">
            <v>(EI-322)</v>
          </cell>
          <cell r="H136">
            <v>0.5</v>
          </cell>
          <cell r="I136" t="str">
            <v>M3</v>
          </cell>
          <cell r="L136" t="str">
            <v>1.</v>
          </cell>
          <cell r="N136" t="str">
            <v>Pekerja</v>
          </cell>
          <cell r="O136" t="str">
            <v>(L01)</v>
          </cell>
          <cell r="P136" t="str">
            <v>Jam</v>
          </cell>
          <cell r="Q136">
            <v>0.64659999999999995</v>
          </cell>
          <cell r="R136">
            <v>2500</v>
          </cell>
          <cell r="S136" t="str">
            <v>HARGA</v>
          </cell>
          <cell r="U136">
            <v>1616.5</v>
          </cell>
        </row>
        <row r="137">
          <cell r="C137" t="str">
            <v>dalam Dump Truck di Base Camp</v>
          </cell>
          <cell r="D137">
            <v>19906.95</v>
          </cell>
          <cell r="E137" t="str">
            <v xml:space="preserve"> / M3.</v>
          </cell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>
            <v>3571.43</v>
          </cell>
          <cell r="S137" t="str">
            <v>(Rp.)</v>
          </cell>
          <cell r="U137">
            <v>330</v>
          </cell>
        </row>
        <row r="138">
          <cell r="A138" t="str">
            <v>II.</v>
          </cell>
          <cell r="C138" t="str">
            <v>URUTAN KERJA</v>
          </cell>
        </row>
        <row r="139">
          <cell r="A139">
            <v>1</v>
          </cell>
          <cell r="C139" t="str">
            <v>Aspal dan Minyak Flux dicampur dan dipanaskan</v>
          </cell>
          <cell r="G139" t="str">
            <v>(E10)</v>
          </cell>
        </row>
        <row r="140">
          <cell r="A140">
            <v>3</v>
          </cell>
          <cell r="C140" t="str">
            <v>sehingga menjadi campuran aspal cair</v>
          </cell>
          <cell r="G140" t="str">
            <v>V</v>
          </cell>
          <cell r="H140">
            <v>0.5</v>
          </cell>
          <cell r="I140" t="str">
            <v>M3</v>
          </cell>
          <cell r="L140" t="str">
            <v>A.</v>
          </cell>
          <cell r="N140" t="str">
            <v>TENAGA</v>
          </cell>
          <cell r="Q140" t="str">
            <v xml:space="preserve">JUMLAH HARGA TENAGA   </v>
          </cell>
          <cell r="U140">
            <v>1946.5</v>
          </cell>
        </row>
        <row r="141">
          <cell r="A141">
            <v>2</v>
          </cell>
          <cell r="C141" t="str">
            <v>Permukaan yang akan dilapis dibersihkan dari debu</v>
          </cell>
          <cell r="G141" t="str">
            <v>Fb</v>
          </cell>
          <cell r="H141">
            <v>0.9</v>
          </cell>
          <cell r="I141" t="str">
            <v>-</v>
          </cell>
        </row>
        <row r="142">
          <cell r="C142" t="str">
            <v>dan kotoran dengan Air Compressor</v>
          </cell>
          <cell r="G142" t="str">
            <v>Fa</v>
          </cell>
          <cell r="H142">
            <v>0.83</v>
          </cell>
          <cell r="I142" t="str">
            <v>-</v>
          </cell>
          <cell r="L142" t="str">
            <v>B.</v>
          </cell>
          <cell r="N142" t="str">
            <v>BAHAN</v>
          </cell>
          <cell r="O142" t="str">
            <v>(L01)</v>
          </cell>
          <cell r="P142" t="str">
            <v>Jam</v>
          </cell>
          <cell r="Q142">
            <v>7.2289000000000003</v>
          </cell>
          <cell r="R142">
            <v>2500</v>
          </cell>
          <cell r="U142">
            <v>18072.25</v>
          </cell>
        </row>
        <row r="143">
          <cell r="A143">
            <v>3</v>
          </cell>
          <cell r="C143" t="str">
            <v>Campuran aspal cair disemprotkan dengan Asphalt</v>
          </cell>
          <cell r="G143" t="str">
            <v>Fd</v>
          </cell>
          <cell r="H143">
            <v>0.8</v>
          </cell>
          <cell r="I143" t="str">
            <v>-</v>
          </cell>
          <cell r="L143" t="str">
            <v>2.</v>
          </cell>
          <cell r="N143" t="str">
            <v>Mandor</v>
          </cell>
          <cell r="O143" t="str">
            <v>(L03)</v>
          </cell>
          <cell r="P143" t="str">
            <v>Jam</v>
          </cell>
          <cell r="Q143">
            <v>0.16059999999999999</v>
          </cell>
          <cell r="R143">
            <v>3571.43</v>
          </cell>
          <cell r="U143">
            <v>573.57000000000005</v>
          </cell>
        </row>
        <row r="144">
          <cell r="A144" t="str">
            <v>III.</v>
          </cell>
          <cell r="C144" t="str">
            <v>Sprayer ke atas permukaan yang akan dilapis.</v>
          </cell>
          <cell r="G144" t="str">
            <v>Bim</v>
          </cell>
          <cell r="H144">
            <v>0.85</v>
          </cell>
          <cell r="I144" t="str">
            <v>-</v>
          </cell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A145">
            <v>4</v>
          </cell>
          <cell r="C145" t="str">
            <v>Angkutan Aspal &amp; Minyak Flux menggunakan Dump Truck</v>
          </cell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>
            <v>126.5</v>
          </cell>
          <cell r="R146">
            <v>100</v>
          </cell>
          <cell r="U146">
            <v>12650</v>
          </cell>
        </row>
        <row r="147">
          <cell r="A147" t="str">
            <v>III.</v>
          </cell>
          <cell r="C147" t="str">
            <v>PEMAKAIAN BAHAN, ALAT DAN TENAGA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48"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  <cell r="L148" t="str">
            <v>B.</v>
          </cell>
          <cell r="N148" t="str">
            <v>BAHAN</v>
          </cell>
        </row>
        <row r="149">
          <cell r="A149" t="str">
            <v xml:space="preserve">   1.</v>
          </cell>
          <cell r="C149" t="str">
            <v>BAHAN</v>
          </cell>
        </row>
        <row r="150">
          <cell r="A150" t="str">
            <v xml:space="preserve">   2.a.</v>
          </cell>
          <cell r="C150" t="str">
            <v>Untuk mendapatkan 1 liter Lapis Resap Pengikat</v>
          </cell>
          <cell r="D150" t="str">
            <v>V  x Fb x Fa x Fd x Bim x 60</v>
          </cell>
          <cell r="G150" t="str">
            <v>(E08)</v>
          </cell>
          <cell r="H150">
            <v>21.164999999999999</v>
          </cell>
          <cell r="I150" t="str">
            <v>M3/Jam</v>
          </cell>
          <cell r="L150" t="str">
            <v>1.</v>
          </cell>
          <cell r="N150" t="str">
            <v>Agregat Kasar</v>
          </cell>
          <cell r="O150" t="str">
            <v>(M03a)</v>
          </cell>
          <cell r="P150" t="str">
            <v>M3</v>
          </cell>
          <cell r="Q150" t="str">
            <v xml:space="preserve">JUMLAH HARGA BAHAN   </v>
          </cell>
          <cell r="R150">
            <v>120100</v>
          </cell>
          <cell r="U150">
            <v>709112.4</v>
          </cell>
        </row>
        <row r="151">
          <cell r="C151" t="str">
            <v>diperlukan :</v>
          </cell>
          <cell r="D151" t="str">
            <v>( 1 liter x Fh )</v>
          </cell>
          <cell r="G151" t="str">
            <v>PC</v>
          </cell>
          <cell r="H151">
            <v>1.1000000000000001</v>
          </cell>
          <cell r="I151" t="str">
            <v>liter</v>
          </cell>
          <cell r="J151" t="str">
            <v xml:space="preserve"> campuran</v>
          </cell>
          <cell r="L151" t="str">
            <v>2.</v>
          </cell>
          <cell r="N151" t="str">
            <v>Agregat Halus</v>
          </cell>
          <cell r="O151" t="str">
            <v>(M04a)</v>
          </cell>
          <cell r="P151" t="str">
            <v>M3</v>
          </cell>
          <cell r="Q151">
            <v>0.30559999999999998</v>
          </cell>
          <cell r="R151">
            <v>115100</v>
          </cell>
          <cell r="U151">
            <v>35174.559999999998</v>
          </cell>
        </row>
        <row r="152">
          <cell r="C152" t="str">
            <v>Faktor Efisiensi alat</v>
          </cell>
          <cell r="G152" t="str">
            <v>Fa</v>
          </cell>
          <cell r="H152">
            <v>0.83</v>
          </cell>
          <cell r="I152" t="str">
            <v>-</v>
          </cell>
          <cell r="L152" t="str">
            <v>C.</v>
          </cell>
          <cell r="N152" t="str">
            <v>PERALATAN</v>
          </cell>
          <cell r="O152" t="str">
            <v>(M10)</v>
          </cell>
          <cell r="P152" t="str">
            <v>Kg</v>
          </cell>
          <cell r="Q152">
            <v>109.2</v>
          </cell>
          <cell r="R152">
            <v>3500</v>
          </cell>
          <cell r="U152">
            <v>382200</v>
          </cell>
        </row>
        <row r="153">
          <cell r="A153" t="str">
            <v xml:space="preserve">   1.a.</v>
          </cell>
          <cell r="C153" t="str">
            <v>Aspal</v>
          </cell>
          <cell r="D153" t="str">
            <v>=   As x PC x D1</v>
          </cell>
          <cell r="G153" t="str">
            <v>(M10)</v>
          </cell>
          <cell r="H153">
            <v>0.88800000000000001</v>
          </cell>
          <cell r="I153" t="str">
            <v>Kg</v>
          </cell>
          <cell r="L153" t="str">
            <v>1.</v>
          </cell>
          <cell r="N153" t="str">
            <v>Wheel Loader</v>
          </cell>
          <cell r="O153" t="str">
            <v>(E15)</v>
          </cell>
          <cell r="P153" t="str">
            <v>Jam</v>
          </cell>
          <cell r="Q153">
            <v>3.7999999999999999E-2</v>
          </cell>
          <cell r="R153">
            <v>143049.93</v>
          </cell>
          <cell r="U153">
            <v>5435.9</v>
          </cell>
        </row>
        <row r="154">
          <cell r="A154" t="str">
            <v xml:space="preserve">   1.b.</v>
          </cell>
          <cell r="C154" t="str">
            <v>Kerosene</v>
          </cell>
          <cell r="D154" t="str">
            <v>=   K x PC</v>
          </cell>
          <cell r="G154" t="str">
            <v>(M11)</v>
          </cell>
          <cell r="H154">
            <v>0.253</v>
          </cell>
          <cell r="I154" t="str">
            <v>liter</v>
          </cell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A155" t="str">
            <v>2.b.</v>
          </cell>
          <cell r="C155" t="str">
            <v>Waktu Siklus :</v>
          </cell>
          <cell r="G155" t="str">
            <v>Ts2</v>
          </cell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A156" t="str">
            <v xml:space="preserve">   2.</v>
          </cell>
          <cell r="C156" t="str">
            <v>ALAT</v>
          </cell>
          <cell r="G156" t="str">
            <v>T1</v>
          </cell>
          <cell r="H156">
            <v>1.5</v>
          </cell>
          <cell r="I156" t="str">
            <v>menit</v>
          </cell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>
            <v>0.1946</v>
          </cell>
          <cell r="R156">
            <v>102654.43</v>
          </cell>
          <cell r="U156">
            <v>19976.55</v>
          </cell>
        </row>
        <row r="157">
          <cell r="A157" t="str">
            <v xml:space="preserve">   2.a.</v>
          </cell>
          <cell r="C157" t="str">
            <v>ASPHALT SPRAYER</v>
          </cell>
          <cell r="G157" t="str">
            <v>(E03)</v>
          </cell>
          <cell r="H157">
            <v>1.2</v>
          </cell>
          <cell r="I157" t="str">
            <v>menit</v>
          </cell>
          <cell r="L157" t="str">
            <v>5.</v>
          </cell>
          <cell r="N157" t="str">
            <v xml:space="preserve">Asphalt Finisher     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C158" t="str">
            <v>Kapasitas alat</v>
          </cell>
          <cell r="G158" t="str">
            <v>V</v>
          </cell>
          <cell r="H158">
            <v>800</v>
          </cell>
          <cell r="I158" t="str">
            <v>liter</v>
          </cell>
          <cell r="L158" t="str">
            <v>6.</v>
          </cell>
          <cell r="N158" t="str">
            <v>Tandem Roller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C159" t="str">
            <v>Faktor efisiensi alat</v>
          </cell>
          <cell r="G159" t="str">
            <v>Fa</v>
          </cell>
          <cell r="H159">
            <v>0.83</v>
          </cell>
          <cell r="I159" t="str">
            <v>-</v>
          </cell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C160" t="str">
            <v>Waktu Siklus (termasuk proses pemanasan)</v>
          </cell>
          <cell r="G160" t="str">
            <v>Ts</v>
          </cell>
          <cell r="H160">
            <v>2</v>
          </cell>
          <cell r="I160" t="str">
            <v>Jam</v>
          </cell>
          <cell r="L160" t="str">
            <v>8</v>
          </cell>
          <cell r="N160" t="str">
            <v>Alat Bantu</v>
          </cell>
          <cell r="O160" t="str">
            <v>(E15)</v>
          </cell>
          <cell r="P160" t="str">
            <v>Ls</v>
          </cell>
          <cell r="Q160">
            <v>1</v>
          </cell>
          <cell r="R160">
            <v>3500</v>
          </cell>
          <cell r="U160">
            <v>3500</v>
          </cell>
        </row>
        <row r="161">
          <cell r="C161" t="str">
            <v>Kap. Prod. / jam =</v>
          </cell>
          <cell r="D161" t="str">
            <v>V x Fa</v>
          </cell>
          <cell r="G161" t="str">
            <v>Q1</v>
          </cell>
          <cell r="H161">
            <v>332</v>
          </cell>
          <cell r="I161" t="str">
            <v>liter</v>
          </cell>
          <cell r="J161" t="str">
            <v>Berlanjut ke hal. berikut</v>
          </cell>
          <cell r="L161" t="str">
            <v>2.</v>
          </cell>
          <cell r="N161" t="str">
            <v>Dump Truck</v>
          </cell>
          <cell r="O161" t="str">
            <v>(E09)</v>
          </cell>
          <cell r="P161" t="str">
            <v>Jam</v>
          </cell>
          <cell r="Q161">
            <v>5.9200000000000003E-2</v>
          </cell>
          <cell r="R161">
            <v>102654.43</v>
          </cell>
          <cell r="U161">
            <v>6077.14</v>
          </cell>
        </row>
        <row r="162">
          <cell r="C162" t="str">
            <v>Jarak Gusur</v>
          </cell>
          <cell r="D162" t="str">
            <v>Ts</v>
          </cell>
          <cell r="G162" t="str">
            <v>L</v>
          </cell>
          <cell r="H162">
            <v>75</v>
          </cell>
          <cell r="I162" t="str">
            <v>M</v>
          </cell>
          <cell r="L162" t="str">
            <v>3.</v>
          </cell>
          <cell r="N162" t="str">
            <v>3-Wheel Roller</v>
          </cell>
          <cell r="O162" t="str">
            <v>[E16]</v>
          </cell>
          <cell r="P162" t="str">
            <v>Jam</v>
          </cell>
          <cell r="Q162" t="str">
            <v xml:space="preserve">JUMLAH HARGA PERALATAN   </v>
          </cell>
          <cell r="R162">
            <v>70179.929999999993</v>
          </cell>
          <cell r="U162">
            <v>132636.69</v>
          </cell>
        </row>
        <row r="163">
          <cell r="C163" t="str">
            <v>Koefisien Alat / Ltr</v>
          </cell>
          <cell r="D163" t="str">
            <v xml:space="preserve"> =  1  :  Q1</v>
          </cell>
          <cell r="E163" t="str">
            <v>H^2 x B x Fb</v>
          </cell>
          <cell r="G163" t="str">
            <v>(E03)</v>
          </cell>
          <cell r="H163">
            <v>3.0000000000000001E-3</v>
          </cell>
          <cell r="I163" t="str">
            <v>Jam</v>
          </cell>
          <cell r="J163" t="str">
            <v>Loose</v>
          </cell>
          <cell r="L163" t="str">
            <v>D.</v>
          </cell>
          <cell r="N163" t="str">
            <v>JUMLAH HARGA TENAGA, BAHAN DAN PERALATAN  ( A + B + C )</v>
          </cell>
          <cell r="O163" t="str">
            <v>(E03)</v>
          </cell>
          <cell r="P163" t="str">
            <v>Jam</v>
          </cell>
          <cell r="Q163">
            <v>0.31019999999999998</v>
          </cell>
          <cell r="R163">
            <v>24722.73</v>
          </cell>
          <cell r="U163">
            <v>843695.59000000008</v>
          </cell>
        </row>
        <row r="164">
          <cell r="L164" t="str">
            <v>E.</v>
          </cell>
          <cell r="N164" t="str">
            <v>OVERHEAD &amp; PROFIT</v>
          </cell>
          <cell r="P164">
            <v>10</v>
          </cell>
          <cell r="Q164" t="str">
            <v>%  x  D</v>
          </cell>
          <cell r="R164">
            <v>500</v>
          </cell>
          <cell r="U164">
            <v>84369.56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J165" t="str">
            <v>Berlanjut ke halaman berikut</v>
          </cell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6">
          <cell r="A166" t="str">
            <v>ITEM PEMBAYARAN NO.</v>
          </cell>
          <cell r="C166" t="str">
            <v xml:space="preserve">Kapasitas alat   -----&gt;&gt;   diambil </v>
          </cell>
          <cell r="D166" t="str">
            <v>:  3.1 (3)</v>
          </cell>
          <cell r="G166" t="str">
            <v>V</v>
          </cell>
          <cell r="H166">
            <v>400</v>
          </cell>
          <cell r="I166" t="str">
            <v>M2 / Jam</v>
          </cell>
          <cell r="J166" t="str">
            <v>Analisa EI-314</v>
          </cell>
        </row>
        <row r="167">
          <cell r="A167" t="str">
            <v>JENIS PEKERJAAN</v>
          </cell>
          <cell r="C167" t="str">
            <v>Aplikasi Lapis Resap Pengikat rata-rata (Spesifikasi)</v>
          </cell>
          <cell r="D167" t="str">
            <v>:  Galian Struktur Kedalaman 0-2 M</v>
          </cell>
          <cell r="G167" t="str">
            <v>Ap</v>
          </cell>
          <cell r="H167">
            <v>0.4</v>
          </cell>
          <cell r="I167" t="str">
            <v>liter / M2</v>
          </cell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A168" t="str">
            <v>SATUAN PEMBAYARAN</v>
          </cell>
          <cell r="C168" t="str">
            <v>Kap. Prod. / jam =</v>
          </cell>
          <cell r="D168" t="str">
            <v>( V x Ap )</v>
          </cell>
          <cell r="G168" t="str">
            <v>Q2</v>
          </cell>
          <cell r="H168">
            <v>160</v>
          </cell>
          <cell r="I168" t="str">
            <v>liter</v>
          </cell>
          <cell r="L168">
            <v>2</v>
          </cell>
          <cell r="N168" t="str">
            <v>Kuantitas satuan adalah kuantitas setiap komponen untuk menyelesaikan satu satuan pekerjaan dari nomor mata pembayaran</v>
          </cell>
          <cell r="Q168" t="str">
            <v xml:space="preserve">JUMLAH HARGA PERALATAN   </v>
          </cell>
          <cell r="U168">
            <v>19881.580000000002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J169" t="str">
            <v>Lanjutan</v>
          </cell>
          <cell r="L169">
            <v>3</v>
          </cell>
          <cell r="N169" t="str">
            <v>Biaya satuan untuk peralatan sudah termasuk bahan bakar, bahan habis dipakai dan operator.</v>
          </cell>
          <cell r="U169">
            <v>618969.68999999994</v>
          </cell>
        </row>
        <row r="170">
          <cell r="L170">
            <v>4</v>
          </cell>
          <cell r="N170" t="str">
            <v>Biaya satuan sudah termasuk pengeluaran untuk seluruh pajak yang berkaitan (tetapi tidak termasuk PPN yang dibayar dari kontrak )</v>
          </cell>
          <cell r="P170">
            <v>10</v>
          </cell>
          <cell r="Q170" t="str">
            <v>%  x  D</v>
          </cell>
          <cell r="U170">
            <v>61896.97</v>
          </cell>
        </row>
        <row r="171">
          <cell r="A171" t="str">
            <v>No.</v>
          </cell>
          <cell r="C171" t="str">
            <v>U R A I A N</v>
          </cell>
          <cell r="G171" t="str">
            <v>KODE</v>
          </cell>
          <cell r="H171" t="str">
            <v>KOEF.</v>
          </cell>
          <cell r="I171" t="str">
            <v>SATUAN</v>
          </cell>
          <cell r="J171" t="str">
            <v>Berlanjut ke hal. berikut.</v>
          </cell>
          <cell r="L171" t="str">
            <v>F.</v>
          </cell>
          <cell r="N171" t="str">
            <v>dan biaya-biaya lainnya.</v>
          </cell>
          <cell r="U171">
            <v>680866.65999999992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  <cell r="T172" t="str">
            <v>Analisa EI-661</v>
          </cell>
        </row>
        <row r="173">
          <cell r="A173" t="str">
            <v>JENIS PEKERJAAN</v>
          </cell>
          <cell r="D173" t="str">
            <v>:  Lapis Perekat</v>
          </cell>
          <cell r="J173" t="str">
            <v>Analisa El-85</v>
          </cell>
          <cell r="L173" t="str">
            <v>Note: 1</v>
          </cell>
          <cell r="N173" t="str">
            <v>SATUAN dapat berdasarkan atas jam operasi untuk Tenaga Kerja dan Peralatan, volume dan/atau ukuran berat untuk bahan</v>
          </cell>
        </row>
        <row r="174">
          <cell r="A174" t="str">
            <v>SATUAN PEMBAYARAN</v>
          </cell>
          <cell r="C174" t="str">
            <v>Waktu Siklus</v>
          </cell>
          <cell r="D174" t="str">
            <v>:  LITER</v>
          </cell>
          <cell r="H174" t="str">
            <v xml:space="preserve">         URAIAN ANALISA HARGA SATUAN</v>
          </cell>
          <cell r="L174" t="str">
            <v>FORMULIR STANDAR UNTUK</v>
          </cell>
          <cell r="N174" t="str">
            <v>Kuantitas satuan adalah kuantitas setiap komponen untuk menyelesaikan satu satuan pekerjaan dari nomor mata pembayaran</v>
          </cell>
        </row>
        <row r="175">
          <cell r="A175" t="str">
            <v>SATUAN PEMBAYARAN</v>
          </cell>
          <cell r="C175" t="str">
            <v>- Maju</v>
          </cell>
          <cell r="D175" t="str">
            <v>:  M3</v>
          </cell>
          <cell r="G175" t="str">
            <v>Tb1</v>
          </cell>
          <cell r="H175" t="str">
            <v xml:space="preserve">         URAIAN ANALISA HARGA SATUAN</v>
          </cell>
          <cell r="I175" t="str">
            <v>menit</v>
          </cell>
          <cell r="J175" t="str">
            <v>Lanjutan</v>
          </cell>
          <cell r="L175" t="str">
            <v>PEREKAMAN ANALISA MASING-MASING HARGA SATUAN</v>
          </cell>
          <cell r="N175" t="str">
            <v>Biaya satuan untuk peralatan sudah termasuk bahan bakar, bahan habis dipakai dan operator.</v>
          </cell>
        </row>
        <row r="176">
          <cell r="C176" t="str">
            <v>- Mundur</v>
          </cell>
          <cell r="D176" t="str">
            <v>= (L x 60) / (R x 1000)</v>
          </cell>
          <cell r="G176" t="str">
            <v>Tb2</v>
          </cell>
          <cell r="H176">
            <v>1.125</v>
          </cell>
          <cell r="I176" t="str">
            <v>menit</v>
          </cell>
          <cell r="J176" t="str">
            <v>Lanjutan</v>
          </cell>
          <cell r="L176">
            <v>4</v>
          </cell>
          <cell r="N176" t="str">
            <v>Biaya satuan sudah termasuk pengeluaran untuk seluruh pajak yang berkaitan (tetapi tidak termasuk PPN yang dibayar dari ontrak )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  <cell r="L177" t="str">
            <v>PROYEK</v>
          </cell>
          <cell r="O177" t="str">
            <v>:  Peningkatan Jalan dan Jembatan Wilayah Barat</v>
          </cell>
        </row>
        <row r="178">
          <cell r="A178" t="str">
            <v>No.</v>
          </cell>
          <cell r="C178" t="str">
            <v>U R A I A N</v>
          </cell>
          <cell r="D178" t="str">
            <v>:  8.1(2)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KETERANGAN</v>
          </cell>
          <cell r="L178" t="str">
            <v>No. PAKET KONTRAK</v>
          </cell>
          <cell r="O178" t="str">
            <v xml:space="preserve">: </v>
          </cell>
          <cell r="T178" t="str">
            <v>Analisa EI-8.21</v>
          </cell>
        </row>
        <row r="179">
          <cell r="A179" t="str">
            <v>JENIS PEKERJAAN</v>
          </cell>
          <cell r="D179" t="str">
            <v>:  Pondasi Agregat Kls. B Untuk Pek. Minor</v>
          </cell>
          <cell r="L179" t="str">
            <v>NAMA PAKET</v>
          </cell>
          <cell r="O179" t="str">
            <v>:  Pembangunan Jembatan Beton Tersebar di Wilayah Barat</v>
          </cell>
        </row>
        <row r="180">
          <cell r="A180" t="str">
            <v xml:space="preserve">   2.c.</v>
          </cell>
          <cell r="C180" t="str">
            <v>DUMP TRUCK</v>
          </cell>
          <cell r="D180" t="str">
            <v>:  M3</v>
          </cell>
          <cell r="E180" t="str">
            <v>V x Fa x 60</v>
          </cell>
          <cell r="G180" t="str">
            <v>(E08)</v>
          </cell>
          <cell r="H180" t="str">
            <v xml:space="preserve">         URAIAN ANALISA HARGA SATUAN</v>
          </cell>
          <cell r="I180" t="str">
            <v xml:space="preserve">M3 / Jam </v>
          </cell>
          <cell r="L180" t="str">
            <v>PROP / KAB / KODYA</v>
          </cell>
          <cell r="O180" t="str">
            <v>:  Lampung Timur</v>
          </cell>
        </row>
        <row r="181">
          <cell r="C181" t="str">
            <v>Sebagai alat pengangkut bahan di lokasi pekerjaan,</v>
          </cell>
          <cell r="D181" t="str">
            <v>V x Fa x 60</v>
          </cell>
          <cell r="E181" t="str">
            <v xml:space="preserve">    Tb x Fh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ITEM PEMBAYARAN NO.</v>
          </cell>
          <cell r="O181" t="str">
            <v>:  6.6.1</v>
          </cell>
        </row>
        <row r="182">
          <cell r="C182" t="str">
            <v>Dump Truck melayani alat Asphalt Sprayer.</v>
          </cell>
          <cell r="D182" t="str">
            <v>Fk x Ts2</v>
          </cell>
          <cell r="L182" t="str">
            <v>JENIS PEKERJAAN</v>
          </cell>
          <cell r="O182" t="str">
            <v>:  Lapis Pen. Macadam Permukaan</v>
          </cell>
        </row>
        <row r="183">
          <cell r="A183" t="str">
            <v>No.</v>
          </cell>
          <cell r="C183" t="str">
            <v>Kap. Prod. / jam =</v>
          </cell>
          <cell r="D183" t="str">
            <v>sama dengan Asphalt Sprayer</v>
          </cell>
          <cell r="G183" t="str">
            <v>Q3</v>
          </cell>
          <cell r="H183">
            <v>332</v>
          </cell>
          <cell r="I183" t="str">
            <v>liter</v>
          </cell>
          <cell r="J183" t="str">
            <v>KETERANGAN</v>
          </cell>
          <cell r="L183" t="str">
            <v>SATUAN PEMBAYARAN</v>
          </cell>
          <cell r="O183" t="str">
            <v>:  M3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  <cell r="L185" t="str">
            <v>No. PAKET KONTRAK</v>
          </cell>
          <cell r="O185" t="str">
            <v xml:space="preserve">: </v>
          </cell>
        </row>
        <row r="186">
          <cell r="A186" t="str">
            <v xml:space="preserve">   2.b.</v>
          </cell>
          <cell r="C186" t="str">
            <v>TREE WHEEL ROLLER</v>
          </cell>
          <cell r="G186" t="str">
            <v>(E16 )</v>
          </cell>
          <cell r="L186" t="str">
            <v>PEKERJAAN</v>
          </cell>
          <cell r="O186" t="str">
            <v>:  Pembangunan Jembatan Beton Tersebar di Wilayah Barat</v>
          </cell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A187" t="str">
            <v xml:space="preserve">   3.</v>
          </cell>
          <cell r="C187" t="str">
            <v>TENAGA</v>
          </cell>
          <cell r="G187" t="str">
            <v>v</v>
          </cell>
          <cell r="H187">
            <v>2</v>
          </cell>
          <cell r="I187" t="str">
            <v>KM/jam</v>
          </cell>
          <cell r="J187" t="str">
            <v>Lump Sump</v>
          </cell>
          <cell r="L187" t="str">
            <v>NO.</v>
          </cell>
          <cell r="N187" t="str">
            <v>KOMPONEN</v>
          </cell>
          <cell r="O187" t="str">
            <v>:  Lampung Timur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A188">
            <v>2</v>
          </cell>
          <cell r="C188" t="str">
            <v>Produksi menentukan : ASPHALT FINISHER</v>
          </cell>
          <cell r="D188" t="str">
            <v>=  2  buah</v>
          </cell>
          <cell r="G188" t="str">
            <v>Q4</v>
          </cell>
          <cell r="H188">
            <v>332</v>
          </cell>
          <cell r="I188" t="str">
            <v>liter</v>
          </cell>
          <cell r="L188" t="str">
            <v>ITEM PEMBAYARAN NO.</v>
          </cell>
          <cell r="O188" t="str">
            <v>:  8.2(1)</v>
          </cell>
          <cell r="R188" t="str">
            <v>(Rp.)</v>
          </cell>
          <cell r="S188" t="str">
            <v>(Rp.)</v>
          </cell>
        </row>
        <row r="189">
          <cell r="A189">
            <v>3</v>
          </cell>
          <cell r="C189" t="str">
            <v>Produksi Lapis Resap Pengikat / hari  =  Tk x Q4</v>
          </cell>
          <cell r="D189" t="str">
            <v>=  2  buah</v>
          </cell>
          <cell r="G189" t="str">
            <v>Qt</v>
          </cell>
          <cell r="H189">
            <v>2324</v>
          </cell>
          <cell r="I189" t="str">
            <v>liter</v>
          </cell>
          <cell r="L189" t="str">
            <v>JENIS PEKERJAAN</v>
          </cell>
          <cell r="O189" t="str">
            <v>:  Galian Utk.Bahu &amp; Pek. Lainnya ,Rutin</v>
          </cell>
        </row>
        <row r="190">
          <cell r="A190">
            <v>4</v>
          </cell>
          <cell r="C190" t="str">
            <v>Kebutuhan tenaga :</v>
          </cell>
          <cell r="G190" t="str">
            <v>Fa</v>
          </cell>
          <cell r="H190">
            <v>0.83</v>
          </cell>
          <cell r="I190" t="str">
            <v>-</v>
          </cell>
          <cell r="L190" t="str">
            <v>SATUAN PEMBAYARAN</v>
          </cell>
          <cell r="O190" t="str">
            <v>:  M3</v>
          </cell>
        </row>
        <row r="191">
          <cell r="A191">
            <v>5</v>
          </cell>
          <cell r="C191" t="str">
            <v>Tebal lapis agregat padat</v>
          </cell>
          <cell r="D191" t="str">
            <v>- Pekerja</v>
          </cell>
          <cell r="G191" t="str">
            <v>P</v>
          </cell>
          <cell r="H191">
            <v>10</v>
          </cell>
          <cell r="I191" t="str">
            <v>orang</v>
          </cell>
          <cell r="L191" t="str">
            <v>A.</v>
          </cell>
          <cell r="N191" t="str">
            <v>TENAGA</v>
          </cell>
        </row>
        <row r="192">
          <cell r="A192">
            <v>6</v>
          </cell>
          <cell r="C192" t="str">
            <v>Kap. Prod. / jam =</v>
          </cell>
          <cell r="D192" t="str">
            <v>- Mandor</v>
          </cell>
          <cell r="G192" t="str">
            <v>M</v>
          </cell>
          <cell r="H192">
            <v>1</v>
          </cell>
          <cell r="I192" t="str">
            <v>orang</v>
          </cell>
        </row>
        <row r="193">
          <cell r="A193">
            <v>7</v>
          </cell>
          <cell r="C193" t="str">
            <v>Jam kerja efektif per-hari</v>
          </cell>
          <cell r="D193" t="str">
            <v>n</v>
          </cell>
          <cell r="G193" t="str">
            <v>Tk</v>
          </cell>
          <cell r="H193">
            <v>7</v>
          </cell>
          <cell r="I193" t="str">
            <v>jam</v>
          </cell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>
            <v>4.5898000000000003</v>
          </cell>
          <cell r="R193">
            <v>2500</v>
          </cell>
          <cell r="S193" t="str">
            <v>JUMLAH</v>
          </cell>
          <cell r="U193">
            <v>11474.5</v>
          </cell>
        </row>
        <row r="194">
          <cell r="A194">
            <v>8</v>
          </cell>
          <cell r="C194" t="str">
            <v>Koefisien tenaga / liter   :</v>
          </cell>
          <cell r="D194" t="str">
            <v xml:space="preserve"> =  1  :  Q2</v>
          </cell>
          <cell r="G194" t="str">
            <v>(E16)</v>
          </cell>
          <cell r="H194">
            <v>2.6800000000000001E-2</v>
          </cell>
          <cell r="I194" t="str">
            <v>jam</v>
          </cell>
          <cell r="J194" t="str">
            <v xml:space="preserve"> Gradasi harus</v>
          </cell>
          <cell r="L194" t="str">
            <v>2.</v>
          </cell>
          <cell r="N194" t="str">
            <v>Mandor</v>
          </cell>
          <cell r="O194" t="str">
            <v>(L03)</v>
          </cell>
          <cell r="P194" t="str">
            <v>Jam</v>
          </cell>
          <cell r="Q194">
            <v>0.13769999999999999</v>
          </cell>
          <cell r="R194">
            <v>3571.43</v>
          </cell>
          <cell r="S194" t="str">
            <v>HARGA</v>
          </cell>
          <cell r="U194">
            <v>491.78591099999994</v>
          </cell>
        </row>
        <row r="195">
          <cell r="C195" t="str">
            <v>Kebutuhan tenaga :</v>
          </cell>
          <cell r="D195" t="str">
            <v>- Pekerja</v>
          </cell>
          <cell r="E195" t="str">
            <v>= (Tk x P) : Qt</v>
          </cell>
          <cell r="G195" t="str">
            <v>(L01)</v>
          </cell>
          <cell r="H195">
            <v>3.0099999999999998E-2</v>
          </cell>
          <cell r="I195" t="str">
            <v>Jam</v>
          </cell>
          <cell r="J195" t="str">
            <v xml:space="preserve"> memenuhi</v>
          </cell>
          <cell r="R195" t="str">
            <v>(Rp.)</v>
          </cell>
          <cell r="S195" t="str">
            <v>(Rp.)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Mandor</v>
          </cell>
          <cell r="E196" t="str">
            <v>= (Tk x M) : Qt</v>
          </cell>
          <cell r="G196" t="str">
            <v>(L03)</v>
          </cell>
          <cell r="H196">
            <v>3.0000000000000001E-3</v>
          </cell>
          <cell r="I196" t="str">
            <v>Jam</v>
          </cell>
          <cell r="J196" t="str">
            <v xml:space="preserve"> Lump Sum</v>
          </cell>
        </row>
        <row r="197">
          <cell r="A197" t="str">
            <v>II.</v>
          </cell>
          <cell r="C197" t="str">
            <v>Diperlukan   :</v>
          </cell>
          <cell r="D197" t="str">
            <v>- Mandor</v>
          </cell>
          <cell r="G197" t="str">
            <v>M</v>
          </cell>
          <cell r="H197">
            <v>1</v>
          </cell>
          <cell r="I197" t="str">
            <v>orang</v>
          </cell>
          <cell r="Q197" t="str">
            <v xml:space="preserve">JUMLAH HARGA TENAGA   </v>
          </cell>
          <cell r="U197">
            <v>11966.285910999999</v>
          </cell>
        </row>
        <row r="198">
          <cell r="A198" t="str">
            <v>4.</v>
          </cell>
          <cell r="C198" t="str">
            <v>HARGA DASAR SATUAN UPAH, BAHAN DAN ALAT</v>
          </cell>
          <cell r="D198" t="str">
            <v>=  2  buah.</v>
          </cell>
          <cell r="L198" t="str">
            <v>A.</v>
          </cell>
          <cell r="N198" t="str">
            <v>TENAGA</v>
          </cell>
        </row>
        <row r="199">
          <cell r="A199">
            <v>2</v>
          </cell>
          <cell r="C199" t="str">
            <v>Lihat lampiran.</v>
          </cell>
          <cell r="D199" t="str">
            <v>=  3  buah.</v>
          </cell>
          <cell r="L199" t="str">
            <v>B.</v>
          </cell>
          <cell r="N199" t="str">
            <v>BAHAN</v>
          </cell>
        </row>
        <row r="200">
          <cell r="C200" t="str">
            <v>- Garpu</v>
          </cell>
          <cell r="D200" t="str">
            <v>=  2  buah.</v>
          </cell>
          <cell r="E200" t="str">
            <v>= (Tk x P) : Qt</v>
          </cell>
          <cell r="G200" t="str">
            <v>(L01)</v>
          </cell>
          <cell r="H200">
            <v>9.4500000000000001E-2</v>
          </cell>
          <cell r="I200" t="str">
            <v>Jam</v>
          </cell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A201" t="str">
            <v>5.</v>
          </cell>
          <cell r="C201" t="str">
            <v>ANALISA HARGA SATUAN PEKERJAAN</v>
          </cell>
          <cell r="D201" t="str">
            <v>- Mandor</v>
          </cell>
          <cell r="E201" t="str">
            <v>= (Tk x M) : Qt</v>
          </cell>
          <cell r="G201" t="str">
            <v>(L03)</v>
          </cell>
          <cell r="H201">
            <v>4.7199999999999999E-2</v>
          </cell>
          <cell r="I201" t="str">
            <v>Jam</v>
          </cell>
          <cell r="L201" t="str">
            <v>1.</v>
          </cell>
          <cell r="N201" t="str">
            <v>Agregat Kasar</v>
          </cell>
          <cell r="O201" t="str">
            <v>(M03a)</v>
          </cell>
          <cell r="P201" t="str">
            <v>M3</v>
          </cell>
          <cell r="Q201">
            <v>1.2833000000000001</v>
          </cell>
          <cell r="R201">
            <v>120100</v>
          </cell>
          <cell r="U201">
            <v>154124.33000000002</v>
          </cell>
        </row>
        <row r="202">
          <cell r="A202" t="str">
            <v xml:space="preserve">   3.</v>
          </cell>
          <cell r="C202" t="str">
            <v>Lihat perhitungan dalam FORMULIR STANDAR UNTUK</v>
          </cell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A203">
            <v>4</v>
          </cell>
          <cell r="C203" t="str">
            <v>PEREKEMAN ANALISA MASING-MASING HARGA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C204" t="str">
            <v>SATUAN.</v>
          </cell>
          <cell r="G204" t="str">
            <v>Qt</v>
          </cell>
          <cell r="H204">
            <v>261.45</v>
          </cell>
          <cell r="I204" t="str">
            <v>M3</v>
          </cell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>
            <v>0.18440000000000001</v>
          </cell>
          <cell r="R204">
            <v>48500</v>
          </cell>
          <cell r="U204">
            <v>8943.4</v>
          </cell>
        </row>
        <row r="205">
          <cell r="C205" t="str">
            <v>Didapat Harga Satuan Pekerjaan :</v>
          </cell>
        </row>
        <row r="206">
          <cell r="A206" t="str">
            <v>III.</v>
          </cell>
          <cell r="C206" t="str">
            <v>PEMAKAIAN BAHAN, ALAT DAN TENAGA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B.</v>
          </cell>
          <cell r="N206" t="str">
            <v>BAHAN</v>
          </cell>
        </row>
        <row r="207">
          <cell r="A207" t="str">
            <v xml:space="preserve">   1.</v>
          </cell>
          <cell r="C207" t="str">
            <v xml:space="preserve">Rp.  </v>
          </cell>
          <cell r="D207">
            <v>4614.92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  <cell r="Q207" t="str">
            <v xml:space="preserve">JUMLAH HARGA BAHAN   </v>
          </cell>
          <cell r="U207">
            <v>580442.29</v>
          </cell>
        </row>
        <row r="208">
          <cell r="C208" t="str">
            <v>- Agregat Kasar</v>
          </cell>
          <cell r="D208" t="str">
            <v>=  Ak x 1 M3 x Fk</v>
          </cell>
          <cell r="G208" t="str">
            <v>M03</v>
          </cell>
          <cell r="H208">
            <v>0.48</v>
          </cell>
          <cell r="I208" t="str">
            <v>M3</v>
          </cell>
        </row>
        <row r="209">
          <cell r="C209" t="str">
            <v>Koefisien tenaga / M3   :</v>
          </cell>
          <cell r="D209" t="str">
            <v>=  Ah x 1 M3 x Fk</v>
          </cell>
          <cell r="G209" t="str">
            <v>M04</v>
          </cell>
          <cell r="H209">
            <v>0.36</v>
          </cell>
          <cell r="I209" t="str">
            <v>M3</v>
          </cell>
          <cell r="L209" t="str">
            <v>C.</v>
          </cell>
          <cell r="N209" t="str">
            <v>PERALATAN</v>
          </cell>
        </row>
        <row r="210">
          <cell r="C210" t="str">
            <v>- Sirtu</v>
          </cell>
          <cell r="D210" t="str">
            <v>- Pekerja</v>
          </cell>
          <cell r="E210" t="str">
            <v>= (Tk x P) : Qt</v>
          </cell>
          <cell r="G210" t="str">
            <v>(L01)</v>
          </cell>
          <cell r="H210">
            <v>4.2838000000000003</v>
          </cell>
          <cell r="I210" t="str">
            <v>jam</v>
          </cell>
        </row>
        <row r="211">
          <cell r="A211" t="str">
            <v xml:space="preserve">   2.</v>
          </cell>
          <cell r="C211" t="str">
            <v>ALAT</v>
          </cell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A212" t="str">
            <v xml:space="preserve">   2.a.</v>
          </cell>
          <cell r="C212" t="str">
            <v>WHEEL LOADER</v>
          </cell>
          <cell r="D212">
            <v>17731.59</v>
          </cell>
          <cell r="E212" t="str">
            <v xml:space="preserve"> / M3</v>
          </cell>
          <cell r="G212" t="str">
            <v>(E15)</v>
          </cell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A213" t="str">
            <v>4.</v>
          </cell>
          <cell r="C213" t="str">
            <v>HARGA DASAR SATUAN UPAH, BAHAN DAN ALAT</v>
          </cell>
          <cell r="G213" t="str">
            <v>V</v>
          </cell>
          <cell r="H213">
            <v>1.5</v>
          </cell>
          <cell r="I213" t="str">
            <v>M3</v>
          </cell>
          <cell r="L213" t="str">
            <v>3.</v>
          </cell>
          <cell r="N213" t="str">
            <v xml:space="preserve">Three Wheel Roller     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C214" t="str">
            <v>Lihat lampiran.</v>
          </cell>
          <cell r="G214" t="str">
            <v>Fb</v>
          </cell>
          <cell r="H214">
            <v>0.9</v>
          </cell>
          <cell r="I214" t="str">
            <v>-</v>
          </cell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>
            <v>0.31019999999999998</v>
          </cell>
          <cell r="R214">
            <v>24722.73</v>
          </cell>
          <cell r="U214">
            <v>7668.9908459999997</v>
          </cell>
        </row>
        <row r="215">
          <cell r="C215" t="str">
            <v>Faktor Efisiensi alat</v>
          </cell>
          <cell r="G215" t="str">
            <v>Fa</v>
          </cell>
          <cell r="H215">
            <v>0.83</v>
          </cell>
          <cell r="I215" t="str">
            <v>-</v>
          </cell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6">
          <cell r="A216" t="str">
            <v>5.</v>
          </cell>
          <cell r="C216" t="str">
            <v>ANALISA HARGA SATUAN PEKERJAAN</v>
          </cell>
          <cell r="G216" t="str">
            <v>Ts1</v>
          </cell>
          <cell r="L216" t="str">
            <v>C.</v>
          </cell>
          <cell r="N216" t="str">
            <v>PERALATAN</v>
          </cell>
        </row>
        <row r="217">
          <cell r="C217" t="str">
            <v>Lihat perhitungan dalam FORMULIR STANDAR UNTUK</v>
          </cell>
          <cell r="G217" t="str">
            <v>T1</v>
          </cell>
          <cell r="H217">
            <v>0.5</v>
          </cell>
          <cell r="I217" t="str">
            <v>menit</v>
          </cell>
        </row>
        <row r="218">
          <cell r="C218" t="str">
            <v>PEREKAMAN ANALISA MASING-MASING HARGA</v>
          </cell>
          <cell r="G218" t="str">
            <v>T2</v>
          </cell>
          <cell r="H218">
            <v>0.5</v>
          </cell>
          <cell r="I218" t="str">
            <v>menit</v>
          </cell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C219" t="str">
            <v>SATUAN.</v>
          </cell>
          <cell r="G219" t="str">
            <v>Ts1</v>
          </cell>
          <cell r="H219">
            <v>1</v>
          </cell>
          <cell r="I219" t="str">
            <v>menit</v>
          </cell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 t="str">
            <v xml:space="preserve">JUMLAH HARGA PERALATAN   </v>
          </cell>
          <cell r="R219">
            <v>82267.929999999993</v>
          </cell>
          <cell r="U219">
            <v>15752.913931671257</v>
          </cell>
        </row>
        <row r="220">
          <cell r="C220" t="str">
            <v>Kap. Prod. / jam =</v>
          </cell>
          <cell r="D220" t="str">
            <v>V x Fb x Fa x 60</v>
          </cell>
          <cell r="G220" t="str">
            <v>Q1</v>
          </cell>
          <cell r="H220">
            <v>56.024999999999999</v>
          </cell>
          <cell r="I220" t="str">
            <v>M3</v>
          </cell>
          <cell r="L220" t="str">
            <v>D.</v>
          </cell>
          <cell r="N220" t="str">
            <v>JUMLAH HARGA TENAGA, BAHAN DAN PERALATAN  ( A + B + C )</v>
          </cell>
          <cell r="P220" t="str">
            <v>Ls</v>
          </cell>
          <cell r="Q220">
            <v>1</v>
          </cell>
          <cell r="R220">
            <v>100</v>
          </cell>
          <cell r="U220">
            <v>608161.48984267132</v>
          </cell>
        </row>
        <row r="221">
          <cell r="A221" t="str">
            <v>ITEM PEMBAYARAN NO.</v>
          </cell>
          <cell r="C221" t="str">
            <v>Rp.</v>
          </cell>
          <cell r="D221">
            <v>162447.83999999997</v>
          </cell>
          <cell r="E221" t="str">
            <v xml:space="preserve"> / M3</v>
          </cell>
          <cell r="J221" t="str">
            <v>Analisa EI-315</v>
          </cell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A222" t="str">
            <v>JENIS PEKERJAAN</v>
          </cell>
          <cell r="C222" t="str">
            <v>Koefisien Alat / M3</v>
          </cell>
          <cell r="D222" t="str">
            <v xml:space="preserve"> =  1  :  Q1</v>
          </cell>
          <cell r="G222" t="str">
            <v>(E15)</v>
          </cell>
          <cell r="H222">
            <v>1.78E-2</v>
          </cell>
          <cell r="I222" t="str">
            <v>jam</v>
          </cell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3">
          <cell r="A223" t="str">
            <v>SATUAN PEMBAYARAN</v>
          </cell>
          <cell r="D223" t="str">
            <v>:  M3</v>
          </cell>
          <cell r="H223" t="str">
            <v xml:space="preserve">         URAIAN ANALISA HARGA SATUAN</v>
          </cell>
        </row>
        <row r="224">
          <cell r="A224" t="str">
            <v xml:space="preserve">   2.b.</v>
          </cell>
          <cell r="C224" t="str">
            <v>DUMP TRUCK</v>
          </cell>
          <cell r="G224" t="str">
            <v>(E09)</v>
          </cell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C225" t="str">
            <v>Kapasitas bak</v>
          </cell>
          <cell r="G225" t="str">
            <v>V</v>
          </cell>
          <cell r="H225">
            <v>6</v>
          </cell>
          <cell r="I225" t="str">
            <v>M3</v>
          </cell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A226" t="str">
            <v>No.</v>
          </cell>
          <cell r="C226" t="str">
            <v>Faktor Efisiensi alat</v>
          </cell>
          <cell r="G226" t="str">
            <v>Fa</v>
          </cell>
          <cell r="H226">
            <v>0.83</v>
          </cell>
          <cell r="I226" t="str">
            <v>-</v>
          </cell>
          <cell r="J226" t="str">
            <v>KETERANGAN</v>
          </cell>
          <cell r="L226">
            <v>3</v>
          </cell>
          <cell r="N226" t="str">
            <v>Biaya satuan untuk peralatan sudah termasuk bahan bakar, bahan habis dipakai dan operator.</v>
          </cell>
          <cell r="Q226" t="str">
            <v xml:space="preserve">JUMLAH HARGA PERALATAN   </v>
          </cell>
          <cell r="U226">
            <v>15462.400000000001</v>
          </cell>
        </row>
        <row r="227">
          <cell r="C227" t="str">
            <v>Kecepatan rata-rata bermuatan</v>
          </cell>
          <cell r="G227" t="str">
            <v>v1</v>
          </cell>
          <cell r="H227">
            <v>40</v>
          </cell>
          <cell r="I227" t="str">
            <v>KM/jam</v>
          </cell>
          <cell r="L227">
            <v>4</v>
          </cell>
          <cell r="N227" t="str">
            <v>Biaya satuan sudah termasuk pengeluaran untuk seluruh pajak yang berkaitan (tetapi tidak termasuk PPN yang dibayar dari kontrak )</v>
          </cell>
          <cell r="U227">
            <v>15877.330000000002</v>
          </cell>
        </row>
        <row r="228">
          <cell r="C228" t="str">
            <v>Kecepatan rata-rata kosong</v>
          </cell>
          <cell r="G228" t="str">
            <v>v2</v>
          </cell>
          <cell r="H228">
            <v>60</v>
          </cell>
          <cell r="I228" t="str">
            <v>KM/jam</v>
          </cell>
          <cell r="L228" t="str">
            <v>E.</v>
          </cell>
          <cell r="N228" t="str">
            <v>dan biaya-biaya lainnya.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A229" t="str">
            <v>ITEM PEMBAYARAN NO.</v>
          </cell>
          <cell r="C229" t="str">
            <v>Waktu Siklus :</v>
          </cell>
          <cell r="D229" t="str">
            <v>:  6.3 (4)</v>
          </cell>
          <cell r="G229" t="str">
            <v>Ts2</v>
          </cell>
          <cell r="J229" t="str">
            <v>Analisa EI-634</v>
          </cell>
        </row>
        <row r="230">
          <cell r="A230" t="str">
            <v>JENIS PEKERJAAN</v>
          </cell>
          <cell r="C230" t="str">
            <v>- Waktu tempuh isi           =  (L : v1) x 60 menit</v>
          </cell>
          <cell r="D230" t="str">
            <v>:  Asphalt Treated Base (ATB)</v>
          </cell>
          <cell r="G230" t="str">
            <v>T1</v>
          </cell>
          <cell r="H230">
            <v>1.5</v>
          </cell>
          <cell r="I230" t="str">
            <v>menit</v>
          </cell>
        </row>
        <row r="231">
          <cell r="A231" t="str">
            <v>SATUAN PEMBAYARAN</v>
          </cell>
          <cell r="C231" t="str">
            <v>- Waktu tempuh kosong  =  (L : v2) x 60 menit</v>
          </cell>
          <cell r="D231" t="str">
            <v>:  M3</v>
          </cell>
          <cell r="G231" t="str">
            <v>T2</v>
          </cell>
          <cell r="H231" t="str">
            <v xml:space="preserve">         URAIAN ANALISA HARGA SATUAN</v>
          </cell>
          <cell r="I231" t="str">
            <v>menit</v>
          </cell>
        </row>
        <row r="232">
          <cell r="A232">
            <v>3</v>
          </cell>
          <cell r="C232" t="str">
            <v>- Lain-lain (termasuk dumping setempat-setempat)</v>
          </cell>
          <cell r="G232" t="str">
            <v>T3</v>
          </cell>
          <cell r="H232">
            <v>20</v>
          </cell>
          <cell r="I232" t="str">
            <v>menit</v>
          </cell>
        </row>
        <row r="233">
          <cell r="G233" t="str">
            <v>Ts2</v>
          </cell>
          <cell r="H233">
            <v>22.5</v>
          </cell>
          <cell r="I233" t="str">
            <v>menit</v>
          </cell>
        </row>
        <row r="234">
          <cell r="A234" t="str">
            <v>No.</v>
          </cell>
          <cell r="C234" t="str">
            <v>U R A I A N</v>
          </cell>
          <cell r="G234" t="str">
            <v>KODE</v>
          </cell>
          <cell r="H234" t="str">
            <v>KOEF.</v>
          </cell>
          <cell r="I234" t="str">
            <v>SATUAN</v>
          </cell>
          <cell r="J234" t="str">
            <v>KETERANGAN</v>
          </cell>
        </row>
        <row r="235">
          <cell r="J235" t="str">
            <v>Berlanjut ke halaman berikut</v>
          </cell>
        </row>
        <row r="236">
          <cell r="A236" t="str">
            <v>ITEM PEMBAYARAN NO.</v>
          </cell>
          <cell r="D236" t="str">
            <v>:  8.1(2)</v>
          </cell>
          <cell r="J236" t="str">
            <v>Analisa EI-812</v>
          </cell>
        </row>
        <row r="237">
          <cell r="A237" t="str">
            <v>I.</v>
          </cell>
          <cell r="C237" t="str">
            <v>ASUMSI</v>
          </cell>
          <cell r="D237" t="str">
            <v>:  Pondasi Agregat Kls. B Untuk Pek. Minor</v>
          </cell>
        </row>
        <row r="238">
          <cell r="A238">
            <v>1</v>
          </cell>
          <cell r="C238" t="str">
            <v>Menggunakan alat berat (cara mekanik)</v>
          </cell>
          <cell r="D238" t="str">
            <v>:  M3</v>
          </cell>
          <cell r="H238" t="str">
            <v xml:space="preserve">         URAIAN ANALISA HARGA SATUAN</v>
          </cell>
        </row>
        <row r="239">
          <cell r="A239">
            <v>2</v>
          </cell>
          <cell r="C239" t="str">
            <v>Lokasi pekerjaan : sepanjang jalan</v>
          </cell>
          <cell r="J239" t="str">
            <v>Lanjutan</v>
          </cell>
        </row>
        <row r="240">
          <cell r="A240">
            <v>3</v>
          </cell>
          <cell r="C240" t="str">
            <v>Kondisi existing jalan : sedang</v>
          </cell>
        </row>
        <row r="241">
          <cell r="A241">
            <v>4</v>
          </cell>
          <cell r="C241" t="str">
            <v>Jarak rata-rata Base Camp ke lokasi pekerjaan</v>
          </cell>
          <cell r="G241" t="str">
            <v>L</v>
          </cell>
          <cell r="H241">
            <v>1</v>
          </cell>
          <cell r="I241" t="str">
            <v>KM</v>
          </cell>
          <cell r="J241" t="str">
            <v>KETERANGAN</v>
          </cell>
        </row>
        <row r="242">
          <cell r="A242">
            <v>5</v>
          </cell>
          <cell r="C242" t="str">
            <v>Tebal Lapis (ATB) padat</v>
          </cell>
          <cell r="G242" t="str">
            <v>t</v>
          </cell>
          <cell r="H242">
            <v>0.05</v>
          </cell>
          <cell r="I242" t="str">
            <v>M</v>
          </cell>
        </row>
        <row r="243">
          <cell r="A243">
            <v>6</v>
          </cell>
          <cell r="C243" t="str">
            <v>Jam kerja efektif per-hari</v>
          </cell>
          <cell r="G243" t="str">
            <v>Tk</v>
          </cell>
          <cell r="H243">
            <v>7</v>
          </cell>
          <cell r="I243" t="str">
            <v>Jam</v>
          </cell>
        </row>
        <row r="244">
          <cell r="A244">
            <v>7</v>
          </cell>
          <cell r="C244" t="str">
            <v>Faktor kehilanganmaterial :</v>
          </cell>
          <cell r="D244" t="str">
            <v>V x Fa x 60</v>
          </cell>
          <cell r="E244" t="str">
            <v>- Agregat</v>
          </cell>
          <cell r="G244" t="str">
            <v>Fh1</v>
          </cell>
          <cell r="H244">
            <v>1.1000000000000001</v>
          </cell>
          <cell r="I244" t="str">
            <v>-</v>
          </cell>
        </row>
        <row r="245">
          <cell r="A245" t="str">
            <v/>
          </cell>
          <cell r="D245" t="str">
            <v>Fk x Ts2</v>
          </cell>
          <cell r="E245" t="str">
            <v>- Aspal</v>
          </cell>
          <cell r="G245" t="str">
            <v>Fh2</v>
          </cell>
          <cell r="H245">
            <v>1.05</v>
          </cell>
          <cell r="I245" t="str">
            <v>-</v>
          </cell>
        </row>
        <row r="246">
          <cell r="A246">
            <v>8</v>
          </cell>
          <cell r="C246" t="str">
            <v>Komposisi campuran ATB  :</v>
          </cell>
          <cell r="D246" t="str">
            <v xml:space="preserve"> =  1  :  Q2</v>
          </cell>
          <cell r="G246" t="str">
            <v>(E09)</v>
          </cell>
          <cell r="H246">
            <v>9.0399999999999994E-2</v>
          </cell>
          <cell r="I246" t="str">
            <v>jam</v>
          </cell>
        </row>
        <row r="247">
          <cell r="C247" t="str">
            <v xml:space="preserve">- Coarse Agregat  </v>
          </cell>
          <cell r="G247" t="str">
            <v>CA</v>
          </cell>
          <cell r="H247">
            <v>55</v>
          </cell>
          <cell r="I247" t="str">
            <v>%</v>
          </cell>
          <cell r="J247" t="str">
            <v xml:space="preserve"> Gradasi harus -</v>
          </cell>
        </row>
        <row r="248">
          <cell r="A248" t="str">
            <v xml:space="preserve">   2.c.</v>
          </cell>
          <cell r="C248" t="str">
            <v>- Fine Agregat</v>
          </cell>
          <cell r="G248" t="str">
            <v>FA</v>
          </cell>
          <cell r="H248">
            <v>33.5</v>
          </cell>
          <cell r="I248" t="str">
            <v>%</v>
          </cell>
          <cell r="J248" t="str">
            <v xml:space="preserve"> memenuhi -</v>
          </cell>
        </row>
        <row r="249">
          <cell r="C249" t="str">
            <v>- Fraksi Filler</v>
          </cell>
          <cell r="G249" t="str">
            <v>FF</v>
          </cell>
          <cell r="H249">
            <v>5</v>
          </cell>
          <cell r="I249" t="str">
            <v>%</v>
          </cell>
          <cell r="J249" t="str">
            <v xml:space="preserve"> Spesifikasi</v>
          </cell>
        </row>
        <row r="250">
          <cell r="C250" t="str">
            <v>- Asphalt</v>
          </cell>
          <cell r="D250" t="str">
            <v>minimum 6 %</v>
          </cell>
          <cell r="G250" t="str">
            <v>As</v>
          </cell>
          <cell r="H250">
            <v>6.5</v>
          </cell>
          <cell r="I250" t="str">
            <v>%</v>
          </cell>
        </row>
        <row r="251">
          <cell r="A251">
            <v>9</v>
          </cell>
          <cell r="C251" t="str">
            <v>Berat jenis bahan  :</v>
          </cell>
          <cell r="G251" t="str">
            <v>n</v>
          </cell>
          <cell r="H251">
            <v>12</v>
          </cell>
          <cell r="I251" t="str">
            <v>lintasan</v>
          </cell>
        </row>
        <row r="252">
          <cell r="C252" t="str">
            <v>- ATB</v>
          </cell>
          <cell r="G252" t="str">
            <v>D1</v>
          </cell>
          <cell r="H252">
            <v>2.2999999999999998</v>
          </cell>
          <cell r="I252" t="str">
            <v>ton / M3</v>
          </cell>
        </row>
        <row r="253">
          <cell r="C253" t="str">
            <v>- Coarse Agregat &amp; Fine Agregat</v>
          </cell>
          <cell r="G253" t="str">
            <v>D2</v>
          </cell>
          <cell r="H253">
            <v>1.8</v>
          </cell>
          <cell r="I253" t="str">
            <v>ton / M3</v>
          </cell>
        </row>
        <row r="254">
          <cell r="C254" t="str">
            <v>- Fraksi Filler</v>
          </cell>
          <cell r="D254" t="str">
            <v>(v x 1000) x b x t x Fa</v>
          </cell>
          <cell r="G254" t="str">
            <v>D3</v>
          </cell>
          <cell r="H254">
            <v>2</v>
          </cell>
          <cell r="I254" t="str">
            <v>ton / M3</v>
          </cell>
        </row>
        <row r="255">
          <cell r="C255" t="str">
            <v>- Asphalt</v>
          </cell>
          <cell r="D255" t="str">
            <v>n</v>
          </cell>
          <cell r="G255" t="str">
            <v>D4</v>
          </cell>
          <cell r="H255">
            <v>1.03</v>
          </cell>
          <cell r="I255" t="str">
            <v>ton / M3</v>
          </cell>
        </row>
        <row r="256">
          <cell r="C256" t="str">
            <v>Koefisien Alat / M3</v>
          </cell>
          <cell r="D256" t="str">
            <v xml:space="preserve"> =  1  :  Q3</v>
          </cell>
          <cell r="G256" t="str">
            <v>(E24)</v>
          </cell>
          <cell r="H256">
            <v>3.61E-2</v>
          </cell>
          <cell r="I256" t="str">
            <v>jam</v>
          </cell>
        </row>
        <row r="257">
          <cell r="A257" t="str">
            <v>II.</v>
          </cell>
          <cell r="C257" t="str">
            <v>URUTAN KERJA</v>
          </cell>
        </row>
        <row r="258">
          <cell r="A258">
            <v>1</v>
          </cell>
          <cell r="C258" t="str">
            <v>W. Loader memuat Agregat dan Asphalt ke dalam cold bin AMP</v>
          </cell>
          <cell r="G258" t="str">
            <v>(E23)</v>
          </cell>
        </row>
        <row r="259">
          <cell r="A259">
            <v>2</v>
          </cell>
          <cell r="C259" t="str">
            <v>Agr.dan aspal dicampur dan dipanaskan dengan AMP untuk</v>
          </cell>
          <cell r="G259" t="str">
            <v>V</v>
          </cell>
          <cell r="H259">
            <v>4</v>
          </cell>
          <cell r="I259" t="str">
            <v>M3</v>
          </cell>
        </row>
        <row r="260">
          <cell r="C260" t="str">
            <v>dimuat langsung ke dalam dump truck dan diangkut ke lokasi</v>
          </cell>
          <cell r="G260" t="str">
            <v>Wc</v>
          </cell>
          <cell r="H260">
            <v>7.0000000000000007E-2</v>
          </cell>
          <cell r="I260" t="str">
            <v>M3</v>
          </cell>
        </row>
        <row r="261">
          <cell r="A261" t="str">
            <v/>
          </cell>
          <cell r="C261" t="str">
            <v>pekerjaan</v>
          </cell>
          <cell r="G261" t="str">
            <v>n</v>
          </cell>
          <cell r="H261">
            <v>1</v>
          </cell>
          <cell r="I261" t="str">
            <v>kali</v>
          </cell>
        </row>
        <row r="262">
          <cell r="A262">
            <v>3</v>
          </cell>
          <cell r="C262" t="str">
            <v>Campuran panas ATB dihampar dengan Finisher</v>
          </cell>
          <cell r="G262" t="str">
            <v>Fa</v>
          </cell>
          <cell r="H262">
            <v>0.83</v>
          </cell>
          <cell r="I262" t="str">
            <v>-</v>
          </cell>
        </row>
        <row r="263">
          <cell r="C263" t="str">
            <v>dan dipadatkan dengan Tandem (Awal &amp; Akhir) dan</v>
          </cell>
        </row>
        <row r="264">
          <cell r="A264" t="str">
            <v/>
          </cell>
          <cell r="C264" t="str">
            <v>Pneumatic Tire Roller (Intermediate Rolling)</v>
          </cell>
          <cell r="D264" t="str">
            <v>V x n x Fa</v>
          </cell>
          <cell r="G264" t="str">
            <v>Q4</v>
          </cell>
          <cell r="H264">
            <v>47.428600000000003</v>
          </cell>
          <cell r="I264" t="str">
            <v>M3</v>
          </cell>
        </row>
        <row r="265">
          <cell r="A265">
            <v>4</v>
          </cell>
          <cell r="C265" t="str">
            <v>Selama pemadatan, sekelompok  pekerja akan merapikan tepi</v>
          </cell>
          <cell r="D265" t="str">
            <v>Wc</v>
          </cell>
        </row>
        <row r="266">
          <cell r="A266" t="str">
            <v/>
          </cell>
          <cell r="C266" t="str">
            <v>hamparan dengan menggunakan alat bantu</v>
          </cell>
          <cell r="D266" t="str">
            <v xml:space="preserve"> =  1  :  Q4</v>
          </cell>
          <cell r="G266" t="str">
            <v>(E23)</v>
          </cell>
          <cell r="H266">
            <v>2.1100000000000001E-2</v>
          </cell>
          <cell r="I266" t="str">
            <v>jam</v>
          </cell>
        </row>
        <row r="267">
          <cell r="A267" t="str">
            <v/>
          </cell>
        </row>
        <row r="268">
          <cell r="A268" t="str">
            <v>III.</v>
          </cell>
          <cell r="C268" t="str">
            <v>PEMAKAIAN BAHAN, ALAT DAN TENAGA</v>
          </cell>
          <cell r="J268" t="str">
            <v xml:space="preserve"> Lump Sum</v>
          </cell>
        </row>
        <row r="269">
          <cell r="A269" t="str">
            <v xml:space="preserve">   1.</v>
          </cell>
          <cell r="C269" t="str">
            <v>BAHAN</v>
          </cell>
        </row>
        <row r="270">
          <cell r="A270" t="str">
            <v>1.a.</v>
          </cell>
          <cell r="C270" t="str">
            <v>Agregat Kasar</v>
          </cell>
          <cell r="D270" t="str">
            <v>= (CA x (D1 x 1 M3) x Fh1) : D2</v>
          </cell>
          <cell r="G270" t="str">
            <v>(M03a)</v>
          </cell>
          <cell r="H270">
            <v>0.77310000000000001</v>
          </cell>
          <cell r="I270" t="str">
            <v>M3</v>
          </cell>
        </row>
        <row r="271">
          <cell r="A271" t="str">
            <v>1.b.</v>
          </cell>
          <cell r="C271" t="str">
            <v>Agregat Halus</v>
          </cell>
          <cell r="D271" t="str">
            <v>= (FA x (D1 x 1 M3) x Fh1) : D2</v>
          </cell>
          <cell r="G271" t="str">
            <v>(M04a)</v>
          </cell>
          <cell r="H271">
            <v>0.47089999999999999</v>
          </cell>
          <cell r="I271" t="str">
            <v>M3</v>
          </cell>
        </row>
        <row r="272">
          <cell r="A272" t="str">
            <v>1.c.</v>
          </cell>
          <cell r="C272" t="str">
            <v>Filler</v>
          </cell>
          <cell r="D272" t="str">
            <v>= (FF x (D1 x 1 M3) x Fh1)</v>
          </cell>
          <cell r="G272" t="str">
            <v>(M05)</v>
          </cell>
          <cell r="H272">
            <v>126.5</v>
          </cell>
          <cell r="I272" t="str">
            <v>Kg</v>
          </cell>
        </row>
        <row r="273">
          <cell r="A273" t="str">
            <v>1.d.</v>
          </cell>
          <cell r="C273" t="str">
            <v>Aspal</v>
          </cell>
          <cell r="D273" t="str">
            <v xml:space="preserve">= (AS x (D1 x 1 M3) x Fh2) </v>
          </cell>
          <cell r="G273" t="str">
            <v>(M10)</v>
          </cell>
          <cell r="H273">
            <v>156.97499999999999</v>
          </cell>
          <cell r="I273" t="str">
            <v>Kg</v>
          </cell>
        </row>
        <row r="275">
          <cell r="A275" t="str">
            <v>2.</v>
          </cell>
          <cell r="C275" t="str">
            <v>ALAT</v>
          </cell>
        </row>
        <row r="276">
          <cell r="A276" t="str">
            <v>2.a.</v>
          </cell>
          <cell r="C276" t="str">
            <v>WHEEL LOADER</v>
          </cell>
          <cell r="G276" t="str">
            <v>(E15)</v>
          </cell>
          <cell r="H276">
            <v>56.024999999999999</v>
          </cell>
          <cell r="I276" t="str">
            <v>M3/jam</v>
          </cell>
        </row>
        <row r="277">
          <cell r="C277" t="str">
            <v>Kapasitas bucket</v>
          </cell>
          <cell r="G277" t="str">
            <v>V</v>
          </cell>
          <cell r="H277">
            <v>1.5</v>
          </cell>
          <cell r="I277" t="str">
            <v>M3</v>
          </cell>
        </row>
        <row r="278">
          <cell r="C278" t="str">
            <v>Faktor bucket</v>
          </cell>
          <cell r="G278" t="str">
            <v>Fb</v>
          </cell>
          <cell r="H278">
            <v>0.9</v>
          </cell>
          <cell r="I278" t="str">
            <v>-</v>
          </cell>
        </row>
        <row r="279">
          <cell r="C279" t="str">
            <v>Faktor efisiensi alat</v>
          </cell>
          <cell r="D279" t="str">
            <v>- Pekerja</v>
          </cell>
          <cell r="G279" t="str">
            <v>Fa</v>
          </cell>
          <cell r="H279">
            <v>0.83</v>
          </cell>
          <cell r="I279" t="str">
            <v>-</v>
          </cell>
        </row>
        <row r="280">
          <cell r="C280" t="str">
            <v>Waktu Siklus</v>
          </cell>
          <cell r="D280" t="str">
            <v>- Mandor</v>
          </cell>
          <cell r="G280" t="str">
            <v>Ts1</v>
          </cell>
          <cell r="H280">
            <v>1</v>
          </cell>
          <cell r="I280" t="str">
            <v>orang</v>
          </cell>
        </row>
        <row r="281">
          <cell r="C281" t="str">
            <v>- Muat</v>
          </cell>
          <cell r="G281" t="str">
            <v>T1</v>
          </cell>
          <cell r="H281">
            <v>1.5</v>
          </cell>
          <cell r="I281" t="str">
            <v>menit</v>
          </cell>
        </row>
        <row r="282">
          <cell r="C282" t="str">
            <v>- Lain lain</v>
          </cell>
          <cell r="G282" t="str">
            <v>T2</v>
          </cell>
          <cell r="H282">
            <v>0.5</v>
          </cell>
          <cell r="I282" t="str">
            <v>menit</v>
          </cell>
        </row>
        <row r="283">
          <cell r="D283" t="str">
            <v>- Pekerja</v>
          </cell>
          <cell r="E283" t="str">
            <v>= (Tk x P) : Qt</v>
          </cell>
          <cell r="G283" t="str">
            <v>Ts1</v>
          </cell>
          <cell r="H283">
            <v>2</v>
          </cell>
          <cell r="I283" t="str">
            <v>menit</v>
          </cell>
        </row>
        <row r="284">
          <cell r="D284" t="str">
            <v>- Mandor</v>
          </cell>
          <cell r="E284" t="str">
            <v>= (Tk x M) : Qt</v>
          </cell>
          <cell r="G284" t="str">
            <v>(L03)</v>
          </cell>
          <cell r="H284">
            <v>1.78E-2</v>
          </cell>
          <cell r="I284" t="str">
            <v>jam</v>
          </cell>
        </row>
        <row r="285">
          <cell r="J285" t="str">
            <v>Berlanjut ke hal. berikut.</v>
          </cell>
        </row>
        <row r="286">
          <cell r="A286" t="str">
            <v>ITEM PEMBAYARAN NO.</v>
          </cell>
          <cell r="D286" t="str">
            <v>:  6.3 (4)</v>
          </cell>
          <cell r="J286" t="str">
            <v>Analisa EI-634</v>
          </cell>
        </row>
        <row r="287">
          <cell r="A287" t="str">
            <v xml:space="preserve">JENIS PEKERJAAN                                  </v>
          </cell>
          <cell r="D287" t="str">
            <v>:  Asphalt Treated Base (ATB)</v>
          </cell>
        </row>
        <row r="288">
          <cell r="A288" t="str">
            <v>SATUAN PEMBAYARAN</v>
          </cell>
          <cell r="D288" t="str">
            <v>:  M3</v>
          </cell>
          <cell r="H288" t="str">
            <v xml:space="preserve">         URAIAN ANALISA HARGA SATUAN</v>
          </cell>
        </row>
        <row r="289">
          <cell r="J289" t="str">
            <v>Lanjutan</v>
          </cell>
        </row>
        <row r="291">
          <cell r="A291" t="str">
            <v>No.</v>
          </cell>
          <cell r="C291" t="str">
            <v>U R A I A N</v>
          </cell>
          <cell r="G291" t="str">
            <v>KODE</v>
          </cell>
          <cell r="H291" t="str">
            <v>KOEF.</v>
          </cell>
          <cell r="I291" t="str">
            <v>SATUAN</v>
          </cell>
          <cell r="J291" t="str">
            <v>KETERANGAN</v>
          </cell>
        </row>
        <row r="293">
          <cell r="J293" t="str">
            <v>Berlanjut ke halaman berikut</v>
          </cell>
        </row>
        <row r="294">
          <cell r="A294" t="str">
            <v>ITEM PEMBAYARAN NO.</v>
          </cell>
          <cell r="C294" t="str">
            <v xml:space="preserve">Kap. Prod./jam = </v>
          </cell>
          <cell r="D294" t="str">
            <v>D2 x V x Fb x Fa x 60</v>
          </cell>
          <cell r="G294" t="str">
            <v>Q1</v>
          </cell>
          <cell r="H294">
            <v>26.307400000000001</v>
          </cell>
          <cell r="I294" t="str">
            <v>M3</v>
          </cell>
          <cell r="J294" t="str">
            <v/>
          </cell>
        </row>
        <row r="295">
          <cell r="A295" t="str">
            <v>JENIS PEKERJAAN</v>
          </cell>
          <cell r="D295" t="str">
            <v>D1 x Ts1</v>
          </cell>
        </row>
        <row r="296">
          <cell r="A296" t="str">
            <v>SATUAN PEMBAYARAN</v>
          </cell>
          <cell r="D296" t="str">
            <v>:  M3</v>
          </cell>
          <cell r="H296" t="str">
            <v xml:space="preserve">         URAIAN ANALISA HARGA SATUAN</v>
          </cell>
        </row>
        <row r="297">
          <cell r="C297" t="str">
            <v>Koefisien Alat / M3</v>
          </cell>
          <cell r="D297" t="str">
            <v xml:space="preserve"> = 1 : Q1</v>
          </cell>
          <cell r="G297" t="str">
            <v>(E15)</v>
          </cell>
          <cell r="H297">
            <v>3.7999999999999999E-2</v>
          </cell>
          <cell r="I297" t="str">
            <v>Jam</v>
          </cell>
          <cell r="J297" t="str">
            <v>Lanjutan</v>
          </cell>
        </row>
        <row r="299">
          <cell r="A299" t="str">
            <v>2.b.</v>
          </cell>
          <cell r="C299" t="str">
            <v>ASPHALT MIXING PLANT (AMP)</v>
          </cell>
          <cell r="G299" t="str">
            <v>(E01)</v>
          </cell>
          <cell r="H299" t="str">
            <v>KOEF.</v>
          </cell>
          <cell r="I299" t="str">
            <v>SATUAN</v>
          </cell>
          <cell r="J299" t="str">
            <v>KETERANGAN</v>
          </cell>
        </row>
        <row r="300">
          <cell r="C300" t="str">
            <v>Kapasitas produksi</v>
          </cell>
          <cell r="G300" t="str">
            <v>V</v>
          </cell>
          <cell r="H300">
            <v>30</v>
          </cell>
          <cell r="I300" t="str">
            <v>ton / Jam</v>
          </cell>
        </row>
        <row r="301">
          <cell r="C301" t="str">
            <v>Faktor Efisiensi alat</v>
          </cell>
          <cell r="G301" t="str">
            <v>Fa</v>
          </cell>
          <cell r="H301">
            <v>0.83</v>
          </cell>
          <cell r="I301" t="str">
            <v>-</v>
          </cell>
        </row>
        <row r="302">
          <cell r="A302" t="str">
            <v>4.</v>
          </cell>
          <cell r="C302" t="str">
            <v>HARGA DASAR SATUAN UPAH, BAHAN DAN ALAT</v>
          </cell>
        </row>
        <row r="303">
          <cell r="C303" t="str">
            <v>Kap.Prod. / jam =</v>
          </cell>
          <cell r="D303" t="str">
            <v>V x Fa</v>
          </cell>
          <cell r="G303" t="str">
            <v>Q2</v>
          </cell>
          <cell r="H303">
            <v>10.8261</v>
          </cell>
          <cell r="I303" t="str">
            <v>M3</v>
          </cell>
        </row>
        <row r="304">
          <cell r="D304" t="str">
            <v xml:space="preserve">D1 </v>
          </cell>
        </row>
        <row r="305">
          <cell r="A305" t="str">
            <v>5.</v>
          </cell>
          <cell r="C305" t="str">
            <v>Koefisien Alat / M3</v>
          </cell>
          <cell r="D305" t="str">
            <v xml:space="preserve"> = 1 : Q2</v>
          </cell>
          <cell r="G305" t="str">
            <v>(E01)</v>
          </cell>
          <cell r="H305">
            <v>9.2399999999999996E-2</v>
          </cell>
          <cell r="I305" t="str">
            <v>Jam</v>
          </cell>
        </row>
        <row r="306">
          <cell r="C306" t="str">
            <v>Lihat perhitungan dalam FORMULIR STANDAR UNTUK</v>
          </cell>
        </row>
        <row r="307">
          <cell r="A307" t="str">
            <v>2.c.</v>
          </cell>
          <cell r="C307" t="str">
            <v>GENERATORSET ( GENSET )</v>
          </cell>
          <cell r="G307" t="str">
            <v>(E12)</v>
          </cell>
        </row>
        <row r="308">
          <cell r="C308" t="str">
            <v>Kap.Prod. / Jam = SAMA DENGAN AMP</v>
          </cell>
          <cell r="G308" t="str">
            <v>Q3</v>
          </cell>
          <cell r="H308">
            <v>10.8261</v>
          </cell>
          <cell r="I308" t="str">
            <v>M3</v>
          </cell>
        </row>
        <row r="309">
          <cell r="C309" t="str">
            <v>Koefisien Alat / M3</v>
          </cell>
          <cell r="D309" t="str">
            <v xml:space="preserve"> = 1 : Q3</v>
          </cell>
          <cell r="G309" t="str">
            <v>(E12)</v>
          </cell>
          <cell r="H309">
            <v>9.2399999999999996E-2</v>
          </cell>
          <cell r="I309" t="str">
            <v>Jam</v>
          </cell>
        </row>
        <row r="311">
          <cell r="A311" t="str">
            <v>2.d.</v>
          </cell>
          <cell r="C311" t="str">
            <v>DUMP TRUCK (DT)</v>
          </cell>
          <cell r="D311">
            <v>20641.289999999997</v>
          </cell>
          <cell r="E311" t="str">
            <v xml:space="preserve"> / M3.</v>
          </cell>
          <cell r="G311" t="str">
            <v>(E09)</v>
          </cell>
        </row>
        <row r="312">
          <cell r="C312" t="str">
            <v>Kapasitas bak</v>
          </cell>
          <cell r="G312" t="str">
            <v>V</v>
          </cell>
          <cell r="H312">
            <v>8</v>
          </cell>
          <cell r="I312" t="str">
            <v>ton</v>
          </cell>
        </row>
        <row r="313">
          <cell r="C313" t="str">
            <v>Faktor Efisiensi alat</v>
          </cell>
          <cell r="G313" t="str">
            <v>Fa</v>
          </cell>
          <cell r="H313">
            <v>0.83</v>
          </cell>
          <cell r="I313" t="str">
            <v>-</v>
          </cell>
        </row>
        <row r="314">
          <cell r="C314" t="str">
            <v>Kecepatan rata-rata bermuatan</v>
          </cell>
          <cell r="G314" t="str">
            <v>v1</v>
          </cell>
          <cell r="H314">
            <v>40</v>
          </cell>
          <cell r="I314" t="str">
            <v>Km / Jam</v>
          </cell>
        </row>
        <row r="315">
          <cell r="C315" t="str">
            <v>Kecepatan rata-rata kosong</v>
          </cell>
          <cell r="G315" t="str">
            <v>v2</v>
          </cell>
          <cell r="H315">
            <v>50</v>
          </cell>
          <cell r="I315" t="str">
            <v>Km / Jam</v>
          </cell>
        </row>
        <row r="316">
          <cell r="C316" t="str">
            <v>Kapasitas AMP / batch</v>
          </cell>
          <cell r="G316" t="str">
            <v>Q2b</v>
          </cell>
          <cell r="H316">
            <v>0.5</v>
          </cell>
          <cell r="I316" t="str">
            <v>ton</v>
          </cell>
        </row>
        <row r="317">
          <cell r="C317" t="str">
            <v>Waktu menyiapkan 1 batch ATB</v>
          </cell>
          <cell r="G317" t="str">
            <v>Tb</v>
          </cell>
          <cell r="H317">
            <v>1</v>
          </cell>
          <cell r="I317" t="str">
            <v>menit</v>
          </cell>
        </row>
        <row r="318">
          <cell r="C318" t="str">
            <v>Waktu Siklus</v>
          </cell>
          <cell r="G318" t="str">
            <v>Ts2</v>
          </cell>
        </row>
        <row r="319">
          <cell r="C319" t="str">
            <v xml:space="preserve">- Mengisi Bak </v>
          </cell>
          <cell r="D319" t="str">
            <v>= (V : Q2b) x Tb</v>
          </cell>
          <cell r="G319" t="str">
            <v>T1</v>
          </cell>
          <cell r="H319">
            <v>16</v>
          </cell>
          <cell r="I319" t="str">
            <v>menit</v>
          </cell>
        </row>
        <row r="320">
          <cell r="C320" t="str">
            <v>- Angkut</v>
          </cell>
          <cell r="D320" t="str">
            <v>= (L : v1) x 60 menit</v>
          </cell>
          <cell r="G320" t="str">
            <v>T2</v>
          </cell>
          <cell r="H320">
            <v>1.5</v>
          </cell>
          <cell r="I320" t="str">
            <v>menit</v>
          </cell>
        </row>
        <row r="321">
          <cell r="C321" t="str">
            <v>- Tunggu + dump + Putar</v>
          </cell>
          <cell r="G321" t="str">
            <v>T3</v>
          </cell>
          <cell r="H321">
            <v>15</v>
          </cell>
          <cell r="I321" t="str">
            <v>menit</v>
          </cell>
        </row>
        <row r="322">
          <cell r="C322" t="str">
            <v>- Kembali</v>
          </cell>
          <cell r="D322" t="str">
            <v>= (L : v2) x 60 menit</v>
          </cell>
          <cell r="G322" t="str">
            <v>T4</v>
          </cell>
          <cell r="H322">
            <v>1.2</v>
          </cell>
          <cell r="I322" t="str">
            <v>menit</v>
          </cell>
        </row>
        <row r="323">
          <cell r="G323" t="str">
            <v>Ts2</v>
          </cell>
          <cell r="H323">
            <v>33.700000000000003</v>
          </cell>
          <cell r="I323" t="str">
            <v>menit</v>
          </cell>
        </row>
        <row r="325">
          <cell r="C325" t="str">
            <v>Kap.Prod. / jam =</v>
          </cell>
          <cell r="D325" t="str">
            <v>V x Fa x 60</v>
          </cell>
          <cell r="G325" t="str">
            <v>Q4</v>
          </cell>
          <cell r="H325">
            <v>5.14</v>
          </cell>
          <cell r="I325" t="str">
            <v>M3</v>
          </cell>
        </row>
        <row r="326">
          <cell r="D326" t="str">
            <v>D1 x Ts2</v>
          </cell>
        </row>
        <row r="327">
          <cell r="C327" t="str">
            <v>Koefisien Alat / M3</v>
          </cell>
          <cell r="D327" t="str">
            <v xml:space="preserve"> = 1 : Q4</v>
          </cell>
          <cell r="G327" t="str">
            <v>(E09)</v>
          </cell>
          <cell r="H327">
            <v>0.1946</v>
          </cell>
          <cell r="I327" t="str">
            <v>Jam</v>
          </cell>
        </row>
        <row r="329">
          <cell r="A329" t="str">
            <v>2.e.</v>
          </cell>
          <cell r="C329" t="str">
            <v>ASPHALT FINISHER</v>
          </cell>
          <cell r="D329" t="str">
            <v/>
          </cell>
          <cell r="G329" t="str">
            <v>(E02)</v>
          </cell>
        </row>
        <row r="330">
          <cell r="C330" t="str">
            <v>Kapasitas produksi</v>
          </cell>
          <cell r="G330" t="str">
            <v>V</v>
          </cell>
          <cell r="H330">
            <v>40</v>
          </cell>
          <cell r="I330" t="str">
            <v>ton / Jam</v>
          </cell>
        </row>
        <row r="331">
          <cell r="C331" t="str">
            <v>Faktor efisiensi alat</v>
          </cell>
          <cell r="G331" t="str">
            <v>Fa</v>
          </cell>
          <cell r="H331">
            <v>0.75</v>
          </cell>
          <cell r="I331" t="str">
            <v>-</v>
          </cell>
        </row>
        <row r="332">
          <cell r="C332" t="str">
            <v>Kap.Prod. / jam =</v>
          </cell>
          <cell r="D332" t="str">
            <v xml:space="preserve">V x Fa </v>
          </cell>
          <cell r="G332" t="str">
            <v>Q5</v>
          </cell>
          <cell r="H332">
            <v>13.0435</v>
          </cell>
          <cell r="I332" t="str">
            <v>M3</v>
          </cell>
        </row>
        <row r="333">
          <cell r="D333" t="str">
            <v xml:space="preserve">D1  </v>
          </cell>
        </row>
        <row r="334">
          <cell r="C334" t="str">
            <v>Koefisien Alat / M3</v>
          </cell>
          <cell r="D334" t="str">
            <v xml:space="preserve"> = 1 : Q5</v>
          </cell>
          <cell r="G334" t="str">
            <v>(E02)</v>
          </cell>
          <cell r="H334">
            <v>7.6700000000000004E-2</v>
          </cell>
          <cell r="I334" t="str">
            <v>Jam</v>
          </cell>
          <cell r="J334" t="str">
            <v/>
          </cell>
        </row>
        <row r="336">
          <cell r="A336" t="str">
            <v>2.f.</v>
          </cell>
          <cell r="C336" t="str">
            <v>TANDEM ROLLER</v>
          </cell>
          <cell r="G336" t="str">
            <v>(E17)</v>
          </cell>
        </row>
        <row r="337">
          <cell r="A337" t="str">
            <v/>
          </cell>
          <cell r="C337" t="str">
            <v>Kecepatan rata-rata alat</v>
          </cell>
          <cell r="G337" t="str">
            <v>v</v>
          </cell>
          <cell r="H337">
            <v>3.5</v>
          </cell>
          <cell r="I337" t="str">
            <v>Km / Jam</v>
          </cell>
        </row>
        <row r="338">
          <cell r="C338" t="str">
            <v>Lebar efektif pemadatan</v>
          </cell>
          <cell r="G338" t="str">
            <v>b</v>
          </cell>
          <cell r="H338">
            <v>1.2</v>
          </cell>
          <cell r="I338" t="str">
            <v>M</v>
          </cell>
        </row>
        <row r="339">
          <cell r="C339" t="str">
            <v>Jumlah lintasan</v>
          </cell>
          <cell r="G339" t="str">
            <v>n</v>
          </cell>
          <cell r="H339">
            <v>8</v>
          </cell>
          <cell r="I339" t="str">
            <v>lintasan</v>
          </cell>
          <cell r="J339" t="str">
            <v xml:space="preserve"> 4 Awal &amp; 4 Akhir</v>
          </cell>
        </row>
        <row r="340">
          <cell r="C340" t="str">
            <v>Faktor Efisiensi alat</v>
          </cell>
          <cell r="G340" t="str">
            <v>Fa</v>
          </cell>
          <cell r="H340">
            <v>0.83</v>
          </cell>
          <cell r="I340" t="str">
            <v>-</v>
          </cell>
        </row>
        <row r="341">
          <cell r="C341" t="str">
            <v/>
          </cell>
        </row>
        <row r="342">
          <cell r="J342" t="str">
            <v>Berlanjut ke hal. berikut.</v>
          </cell>
        </row>
        <row r="343">
          <cell r="A343" t="str">
            <v>ITEM PEMBAYARAN NO.</v>
          </cell>
          <cell r="D343" t="str">
            <v>:  6.3 (4)</v>
          </cell>
          <cell r="J343" t="str">
            <v>Analisa EI-634</v>
          </cell>
        </row>
        <row r="344">
          <cell r="A344" t="str">
            <v>JENIS PEKERJAAN</v>
          </cell>
          <cell r="D344" t="str">
            <v>:  Asphalt Treated Base (ATB)</v>
          </cell>
        </row>
        <row r="345">
          <cell r="A345" t="str">
            <v>SATUAN PEMBAYARAN</v>
          </cell>
          <cell r="D345" t="str">
            <v>:  M3</v>
          </cell>
          <cell r="H345" t="str">
            <v xml:space="preserve">         URAIAN ANALISA HARGA SATUAN</v>
          </cell>
        </row>
        <row r="346">
          <cell r="J346" t="str">
            <v>Lanjutan</v>
          </cell>
        </row>
        <row r="348">
          <cell r="A348" t="str">
            <v>No.</v>
          </cell>
          <cell r="C348" t="str">
            <v>U R A I A N</v>
          </cell>
          <cell r="G348" t="str">
            <v>KODE</v>
          </cell>
          <cell r="H348" t="str">
            <v>KOEF.</v>
          </cell>
          <cell r="I348" t="str">
            <v>SATUAN</v>
          </cell>
          <cell r="J348" t="str">
            <v>KETERANGAN</v>
          </cell>
        </row>
        <row r="351">
          <cell r="B351" t="str">
            <v/>
          </cell>
          <cell r="C351" t="str">
            <v xml:space="preserve">Kap. Prod./jam = </v>
          </cell>
          <cell r="D351" t="str">
            <v>(v x 1000) x b x t x Fa</v>
          </cell>
          <cell r="G351" t="str">
            <v>Q6</v>
          </cell>
          <cell r="H351">
            <v>21.787500000000001</v>
          </cell>
          <cell r="I351" t="str">
            <v>M3</v>
          </cell>
        </row>
        <row r="352">
          <cell r="D352" t="str">
            <v>n</v>
          </cell>
        </row>
        <row r="353">
          <cell r="A353" t="str">
            <v>ITEM PEMBAYARAN NO.</v>
          </cell>
          <cell r="C353" t="str">
            <v>Koefisien Alat / M3</v>
          </cell>
          <cell r="D353" t="str">
            <v xml:space="preserve"> = 1 : Q6</v>
          </cell>
          <cell r="G353" t="str">
            <v>(E17)</v>
          </cell>
          <cell r="H353">
            <v>4.5900000000000003E-2</v>
          </cell>
          <cell r="I353" t="str">
            <v>Jam</v>
          </cell>
          <cell r="J353" t="str">
            <v>Analisa EI-817</v>
          </cell>
        </row>
        <row r="354">
          <cell r="A354" t="str">
            <v>JENIS PEKERJAAN</v>
          </cell>
          <cell r="C354" t="str">
            <v/>
          </cell>
          <cell r="D354" t="str">
            <v>:  Penetrasi Macadam Utk.Pek.Minor</v>
          </cell>
        </row>
        <row r="355">
          <cell r="A355" t="str">
            <v>2.g.</v>
          </cell>
          <cell r="C355" t="str">
            <v>PNEUMATIC TIRE ROLLER</v>
          </cell>
          <cell r="D355" t="str">
            <v>:  M3</v>
          </cell>
          <cell r="G355" t="str">
            <v>(E18)</v>
          </cell>
          <cell r="H355" t="str">
            <v xml:space="preserve">         URAIAN ANALISA HARGA SATUAN</v>
          </cell>
        </row>
        <row r="356">
          <cell r="C356" t="str">
            <v>Kecepatan rata-rata</v>
          </cell>
          <cell r="G356" t="str">
            <v>v</v>
          </cell>
          <cell r="H356">
            <v>5</v>
          </cell>
          <cell r="I356" t="str">
            <v>KM / Jam</v>
          </cell>
        </row>
        <row r="357">
          <cell r="C357" t="str">
            <v>Lebar efektif pemadatan</v>
          </cell>
          <cell r="G357" t="str">
            <v>b</v>
          </cell>
          <cell r="H357">
            <v>1.5</v>
          </cell>
          <cell r="I357" t="str">
            <v>M</v>
          </cell>
        </row>
        <row r="358">
          <cell r="A358" t="str">
            <v>No.</v>
          </cell>
          <cell r="C358" t="str">
            <v>Jumlah lintasan</v>
          </cell>
          <cell r="G358" t="str">
            <v>n</v>
          </cell>
          <cell r="H358">
            <v>8</v>
          </cell>
          <cell r="I358" t="str">
            <v>lintasan</v>
          </cell>
          <cell r="J358" t="str">
            <v>KETERANGAN</v>
          </cell>
        </row>
        <row r="359">
          <cell r="C359" t="str">
            <v>Faktor Efisiensi alat</v>
          </cell>
          <cell r="G359" t="str">
            <v>Fa</v>
          </cell>
          <cell r="H359">
            <v>0.83</v>
          </cell>
          <cell r="I359" t="str">
            <v>-</v>
          </cell>
        </row>
        <row r="361">
          <cell r="A361" t="str">
            <v>I.</v>
          </cell>
          <cell r="C361" t="str">
            <v>Kap.Prod. / jam =</v>
          </cell>
          <cell r="D361" t="str">
            <v>(v x 1000) x b x t x Fa</v>
          </cell>
          <cell r="G361" t="str">
            <v>Q7</v>
          </cell>
          <cell r="H361">
            <v>38.906300000000002</v>
          </cell>
          <cell r="I361" t="str">
            <v>M3</v>
          </cell>
        </row>
        <row r="362">
          <cell r="A362">
            <v>1</v>
          </cell>
          <cell r="C362" t="str">
            <v>Menggunakan alat berat (cara mekanik)</v>
          </cell>
          <cell r="D362" t="str">
            <v>n</v>
          </cell>
        </row>
        <row r="363">
          <cell r="A363">
            <v>2</v>
          </cell>
          <cell r="C363" t="str">
            <v>Koefisien Alat / M3</v>
          </cell>
          <cell r="D363" t="str">
            <v xml:space="preserve"> = 1 : Q7</v>
          </cell>
          <cell r="G363" t="str">
            <v>(E18)</v>
          </cell>
          <cell r="H363">
            <v>2.5700000000000001E-2</v>
          </cell>
          <cell r="I363" t="str">
            <v>Jam</v>
          </cell>
        </row>
        <row r="364">
          <cell r="A364">
            <v>3</v>
          </cell>
          <cell r="C364" t="str">
            <v>Kondisi existing jalan : sedang</v>
          </cell>
        </row>
        <row r="365">
          <cell r="A365" t="str">
            <v>2.h.</v>
          </cell>
          <cell r="C365" t="str">
            <v>ALAT BANTU</v>
          </cell>
          <cell r="G365" t="str">
            <v>L</v>
          </cell>
          <cell r="H365">
            <v>1</v>
          </cell>
          <cell r="I365" t="str">
            <v>KM</v>
          </cell>
        </row>
        <row r="366">
          <cell r="A366">
            <v>5</v>
          </cell>
          <cell r="C366" t="str">
            <v>diperlukan :</v>
          </cell>
          <cell r="G366" t="str">
            <v>t</v>
          </cell>
          <cell r="H366">
            <v>0.05</v>
          </cell>
          <cell r="I366" t="str">
            <v>M</v>
          </cell>
          <cell r="J366" t="str">
            <v>Lump Sum</v>
          </cell>
        </row>
        <row r="367">
          <cell r="A367">
            <v>6</v>
          </cell>
          <cell r="C367" t="str">
            <v>- Kereta dorong   = 2 buah</v>
          </cell>
          <cell r="G367" t="str">
            <v>Tk</v>
          </cell>
          <cell r="H367">
            <v>7</v>
          </cell>
          <cell r="I367" t="str">
            <v>Jam</v>
          </cell>
        </row>
        <row r="368">
          <cell r="A368">
            <v>7</v>
          </cell>
          <cell r="C368" t="str">
            <v>- Sekop                = 3 buah</v>
          </cell>
          <cell r="E368" t="str">
            <v>- Agregat</v>
          </cell>
          <cell r="G368" t="str">
            <v>Fh1</v>
          </cell>
          <cell r="H368">
            <v>1.1000000000000001</v>
          </cell>
          <cell r="I368" t="str">
            <v>-</v>
          </cell>
        </row>
        <row r="369">
          <cell r="A369" t="str">
            <v/>
          </cell>
          <cell r="C369" t="str">
            <v>- Garpu                = 2 buah</v>
          </cell>
          <cell r="E369" t="str">
            <v>- Aspal</v>
          </cell>
          <cell r="G369" t="str">
            <v>Fh2</v>
          </cell>
          <cell r="H369">
            <v>1.05</v>
          </cell>
          <cell r="I369" t="str">
            <v>-</v>
          </cell>
        </row>
        <row r="370">
          <cell r="A370">
            <v>8</v>
          </cell>
          <cell r="C370" t="str">
            <v>- Tongkat Kontrol ketebalan hanparan</v>
          </cell>
        </row>
        <row r="371">
          <cell r="C371" t="str">
            <v>- Agregat Pokok</v>
          </cell>
          <cell r="G371" t="str">
            <v>Ak</v>
          </cell>
          <cell r="H371">
            <v>105</v>
          </cell>
          <cell r="I371" t="str">
            <v>Kg/M2</v>
          </cell>
          <cell r="J371" t="str">
            <v xml:space="preserve"> Tabel 6.6.3.</v>
          </cell>
        </row>
        <row r="372">
          <cell r="A372" t="str">
            <v xml:space="preserve">   3.</v>
          </cell>
          <cell r="C372" t="str">
            <v>TENAGA</v>
          </cell>
          <cell r="G372" t="str">
            <v>Ap</v>
          </cell>
          <cell r="H372">
            <v>25</v>
          </cell>
          <cell r="I372" t="str">
            <v>Kg/M2</v>
          </cell>
          <cell r="J372" t="str">
            <v xml:space="preserve"> Tabel 6.6.3.</v>
          </cell>
        </row>
        <row r="373">
          <cell r="C373" t="str">
            <v>Produksi menentukan : Asphalt Mixing Plant (AMP)</v>
          </cell>
          <cell r="G373" t="str">
            <v>Q2</v>
          </cell>
          <cell r="H373">
            <v>10.8261</v>
          </cell>
          <cell r="I373" t="str">
            <v>M3/Jam</v>
          </cell>
          <cell r="J373" t="str">
            <v xml:space="preserve"> Tabel 6.6.3.</v>
          </cell>
        </row>
        <row r="374">
          <cell r="C374" t="str">
            <v>Produksi ATB / hari  =  Tk x Q2</v>
          </cell>
          <cell r="D374" t="str">
            <v>- Paska Agregat Pokok 3,7 kg/M2</v>
          </cell>
          <cell r="G374" t="str">
            <v>Qt</v>
          </cell>
          <cell r="H374">
            <v>75.782700000000006</v>
          </cell>
          <cell r="I374" t="str">
            <v>M3</v>
          </cell>
          <cell r="J374" t="str">
            <v xml:space="preserve"> Tabel 6.6.3.</v>
          </cell>
        </row>
        <row r="375">
          <cell r="C375" t="str">
            <v>Kebutuhan tenaga :</v>
          </cell>
          <cell r="G375" t="str">
            <v>As2</v>
          </cell>
          <cell r="H375">
            <v>104</v>
          </cell>
          <cell r="I375" t="str">
            <v>Kg/M3</v>
          </cell>
          <cell r="J375" t="str">
            <v xml:space="preserve"> (As1 : t)</v>
          </cell>
        </row>
        <row r="376">
          <cell r="A376">
            <v>9</v>
          </cell>
          <cell r="C376" t="str">
            <v>Berat jenis bahan  :</v>
          </cell>
          <cell r="D376" t="str">
            <v>- Pekerja</v>
          </cell>
          <cell r="G376" t="str">
            <v>P</v>
          </cell>
          <cell r="H376">
            <v>7</v>
          </cell>
          <cell r="I376" t="str">
            <v>orang</v>
          </cell>
        </row>
        <row r="377">
          <cell r="C377" t="str">
            <v>- Agregat</v>
          </cell>
          <cell r="D377" t="str">
            <v>- Mandor</v>
          </cell>
          <cell r="G377" t="str">
            <v>M</v>
          </cell>
          <cell r="H377">
            <v>1</v>
          </cell>
          <cell r="I377" t="str">
            <v>orang</v>
          </cell>
        </row>
        <row r="378">
          <cell r="C378" t="str">
            <v>- Aspal</v>
          </cell>
          <cell r="G378" t="str">
            <v>D2</v>
          </cell>
          <cell r="H378">
            <v>1.01</v>
          </cell>
          <cell r="I378" t="str">
            <v>ton / M3</v>
          </cell>
        </row>
        <row r="379">
          <cell r="C379" t="str">
            <v>Koefisien Tenaga / M3     :</v>
          </cell>
          <cell r="G379" t="str">
            <v>D3</v>
          </cell>
          <cell r="H379">
            <v>1.67</v>
          </cell>
          <cell r="I379" t="str">
            <v>ton / M3</v>
          </cell>
        </row>
        <row r="380">
          <cell r="D380" t="str">
            <v>- Pekerja</v>
          </cell>
          <cell r="E380" t="str">
            <v>= (Tk x P) / Qt</v>
          </cell>
          <cell r="G380" t="str">
            <v>(L01)</v>
          </cell>
          <cell r="H380">
            <v>0.64659999999999995</v>
          </cell>
          <cell r="I380" t="str">
            <v>Jam</v>
          </cell>
        </row>
        <row r="381">
          <cell r="D381" t="str">
            <v>- Mandor</v>
          </cell>
          <cell r="E381" t="str">
            <v>= (Tk x M) / Qt</v>
          </cell>
          <cell r="G381" t="str">
            <v>(L03)</v>
          </cell>
          <cell r="H381">
            <v>9.2399999999999996E-2</v>
          </cell>
          <cell r="I381" t="str">
            <v>Jam</v>
          </cell>
        </row>
        <row r="382">
          <cell r="A382" t="str">
            <v>II.</v>
          </cell>
          <cell r="C382" t="str">
            <v>URUTAN KERJA</v>
          </cell>
        </row>
        <row r="383">
          <cell r="A383" t="str">
            <v>4.</v>
          </cell>
          <cell r="C383" t="str">
            <v>HARGA DASAR SATUAN UPAH, BAHAN DAN ALAT</v>
          </cell>
        </row>
        <row r="384">
          <cell r="C384" t="str">
            <v>Lihat lampiran.</v>
          </cell>
        </row>
        <row r="385">
          <cell r="A385">
            <v>2</v>
          </cell>
          <cell r="C385" t="str">
            <v>Agregat kasar dimuat ke dalam Dump Truck</v>
          </cell>
        </row>
        <row r="386">
          <cell r="A386" t="str">
            <v>5.</v>
          </cell>
          <cell r="C386" t="str">
            <v>ANALISA HARGA SATUAN PEKERJAAN</v>
          </cell>
        </row>
        <row r="387">
          <cell r="A387">
            <v>3</v>
          </cell>
          <cell r="C387" t="str">
            <v>Lihat perhitungan dalam FORMULIR STANDAR UNTUK</v>
          </cell>
        </row>
        <row r="388">
          <cell r="C388" t="str">
            <v>PEREKEMAN ANALISA MASING-MASING HARGA</v>
          </cell>
        </row>
        <row r="389">
          <cell r="A389">
            <v>4</v>
          </cell>
          <cell r="C389" t="str">
            <v>SATUAN.</v>
          </cell>
        </row>
        <row r="390">
          <cell r="C390" t="str">
            <v>Didapat Harga Satuan Pekerjaan :</v>
          </cell>
        </row>
        <row r="391">
          <cell r="A391">
            <v>5</v>
          </cell>
          <cell r="C391" t="str">
            <v>Agregat Pengunci ditebarkan dan dipadatkan dengan</v>
          </cell>
        </row>
        <row r="392">
          <cell r="A392" t="str">
            <v/>
          </cell>
          <cell r="C392" t="str">
            <v xml:space="preserve">Rp.  </v>
          </cell>
          <cell r="D392">
            <v>928065.15000000014</v>
          </cell>
          <cell r="E392" t="str">
            <v xml:space="preserve"> / M3.</v>
          </cell>
        </row>
        <row r="394">
          <cell r="A394" t="str">
            <v>III.</v>
          </cell>
          <cell r="C394" t="str">
            <v>PEMAKAIAN BAHAN, ALAT DAN TENAGA</v>
          </cell>
        </row>
        <row r="396">
          <cell r="A396" t="str">
            <v xml:space="preserve">   1.</v>
          </cell>
          <cell r="C396" t="str">
            <v>BAHAN</v>
          </cell>
        </row>
        <row r="397">
          <cell r="A397" t="str">
            <v>1.a.</v>
          </cell>
          <cell r="C397" t="str">
            <v>Agregat Kasar</v>
          </cell>
          <cell r="D397" t="str">
            <v>=  {(Ak/1000 : t M3) x Fh1} : D1</v>
          </cell>
          <cell r="G397" t="str">
            <v>(M03a)</v>
          </cell>
          <cell r="H397">
            <v>1.2833000000000001</v>
          </cell>
          <cell r="I397" t="str">
            <v>M3</v>
          </cell>
        </row>
        <row r="398">
          <cell r="A398" t="str">
            <v>1.b.</v>
          </cell>
          <cell r="C398" t="str">
            <v>Agregat Pengunci</v>
          </cell>
          <cell r="D398" t="str">
            <v>=  {(Ap/1000 : t M3) x Fh1} : D1</v>
          </cell>
          <cell r="G398" t="str">
            <v>(M04a)</v>
          </cell>
          <cell r="H398">
            <v>0.30559999999999998</v>
          </cell>
          <cell r="I398" t="str">
            <v>M3</v>
          </cell>
        </row>
        <row r="399">
          <cell r="A399" t="str">
            <v>1.c.</v>
          </cell>
          <cell r="C399" t="str">
            <v>Agregat Penutup</v>
          </cell>
          <cell r="D399" t="str">
            <v>=  {(Ap2/1000 : t M3) x Fh1} : D3</v>
          </cell>
          <cell r="G399" t="str">
            <v>(M01)</v>
          </cell>
          <cell r="H399">
            <v>0.18440000000000001</v>
          </cell>
          <cell r="I399" t="str">
            <v>M3</v>
          </cell>
        </row>
        <row r="400">
          <cell r="A400" t="str">
            <v>ITEM PEMBAYARAN NO.</v>
          </cell>
          <cell r="C400" t="str">
            <v>Aspal</v>
          </cell>
          <cell r="D400" t="str">
            <v>:  6.6.1</v>
          </cell>
          <cell r="G400" t="str">
            <v>(M10)</v>
          </cell>
          <cell r="H400">
            <v>109.2</v>
          </cell>
          <cell r="I400" t="str">
            <v>Kg</v>
          </cell>
          <cell r="J400" t="str">
            <v>Analisa EI-661</v>
          </cell>
        </row>
        <row r="401">
          <cell r="A401" t="str">
            <v>JENIS PEKERJAAN</v>
          </cell>
          <cell r="D401" t="str">
            <v>:  Lapis Pen. Macadam Permukaan</v>
          </cell>
        </row>
        <row r="402">
          <cell r="A402" t="str">
            <v>SATUAN PEMBAYARAN</v>
          </cell>
          <cell r="C402" t="str">
            <v>ALAT</v>
          </cell>
          <cell r="D402" t="str">
            <v>:  M3</v>
          </cell>
          <cell r="H402" t="str">
            <v xml:space="preserve">         URAIAN ANALISA HARGA SATUAN</v>
          </cell>
        </row>
        <row r="403">
          <cell r="A403" t="str">
            <v>2.a.</v>
          </cell>
          <cell r="C403" t="str">
            <v>WHEEL LOADER</v>
          </cell>
          <cell r="G403" t="str">
            <v>(E15)</v>
          </cell>
        </row>
        <row r="404">
          <cell r="C404" t="str">
            <v>Kapasitas bucket</v>
          </cell>
          <cell r="G404" t="str">
            <v>V</v>
          </cell>
          <cell r="H404">
            <v>0</v>
          </cell>
          <cell r="I404" t="str">
            <v>M3</v>
          </cell>
        </row>
        <row r="405">
          <cell r="A405" t="str">
            <v>No.</v>
          </cell>
          <cell r="C405" t="str">
            <v>U R A I A N</v>
          </cell>
          <cell r="G405" t="str">
            <v>KODE</v>
          </cell>
          <cell r="H405" t="str">
            <v>KOEF.</v>
          </cell>
          <cell r="I405" t="str">
            <v>SATUAN</v>
          </cell>
          <cell r="J405" t="str">
            <v>KETERANGAN</v>
          </cell>
        </row>
        <row r="406">
          <cell r="C406" t="str">
            <v>Faktor efisiensi alat</v>
          </cell>
          <cell r="G406" t="str">
            <v>Fa</v>
          </cell>
          <cell r="H406">
            <v>0</v>
          </cell>
          <cell r="I406" t="str">
            <v>-</v>
          </cell>
        </row>
        <row r="407">
          <cell r="C407" t="str">
            <v>Waktu Siklus</v>
          </cell>
          <cell r="G407" t="str">
            <v>Ts1</v>
          </cell>
        </row>
        <row r="408">
          <cell r="A408" t="str">
            <v>I.</v>
          </cell>
          <cell r="C408" t="str">
            <v>ASUMSI</v>
          </cell>
          <cell r="G408" t="str">
            <v>T1</v>
          </cell>
          <cell r="H408">
            <v>0</v>
          </cell>
          <cell r="I408" t="str">
            <v>menit</v>
          </cell>
        </row>
        <row r="409">
          <cell r="A409">
            <v>1</v>
          </cell>
          <cell r="C409" t="str">
            <v>Menggunakan alat berat (cara mekanik)</v>
          </cell>
          <cell r="G409" t="str">
            <v>T2</v>
          </cell>
          <cell r="H409">
            <v>0</v>
          </cell>
          <cell r="I409" t="str">
            <v>menit</v>
          </cell>
        </row>
        <row r="410">
          <cell r="A410">
            <v>2</v>
          </cell>
          <cell r="C410" t="str">
            <v>Lokasi pekerjaan : sekitar jembatan</v>
          </cell>
          <cell r="G410" t="str">
            <v>Ts1</v>
          </cell>
          <cell r="H410">
            <v>0</v>
          </cell>
          <cell r="I410" t="str">
            <v>menit</v>
          </cell>
        </row>
        <row r="411">
          <cell r="A411">
            <v>3</v>
          </cell>
          <cell r="C411" t="str">
            <v>Kondisi existing jalan : sedang</v>
          </cell>
        </row>
        <row r="412">
          <cell r="A412">
            <v>4</v>
          </cell>
          <cell r="C412" t="str">
            <v>Jarak rata-rata Base Camp ke lokasi pekerjaan</v>
          </cell>
          <cell r="G412" t="str">
            <v>L</v>
          </cell>
          <cell r="H412">
            <v>1</v>
          </cell>
          <cell r="I412" t="str">
            <v>KM</v>
          </cell>
          <cell r="J412" t="str">
            <v>Berlanjut ke halaman berikut</v>
          </cell>
        </row>
        <row r="413">
          <cell r="A413">
            <v>5</v>
          </cell>
          <cell r="C413" t="str">
            <v>Tebal rata2 Lapen</v>
          </cell>
          <cell r="D413" t="str">
            <v>:  8.1 (7)</v>
          </cell>
          <cell r="G413" t="str">
            <v>t</v>
          </cell>
          <cell r="H413">
            <v>0.05</v>
          </cell>
          <cell r="I413" t="str">
            <v>M</v>
          </cell>
          <cell r="J413" t="str">
            <v>Analisa EI-817</v>
          </cell>
        </row>
        <row r="414">
          <cell r="A414">
            <v>6</v>
          </cell>
          <cell r="C414" t="str">
            <v>Jam kerja efektif per-hari</v>
          </cell>
          <cell r="D414" t="str">
            <v>:  Penetrasi Macadam Utk.Pek.Minor</v>
          </cell>
          <cell r="G414" t="str">
            <v>Tk</v>
          </cell>
          <cell r="H414">
            <v>7</v>
          </cell>
          <cell r="I414" t="str">
            <v>Jam</v>
          </cell>
        </row>
        <row r="415">
          <cell r="A415">
            <v>7</v>
          </cell>
          <cell r="C415" t="str">
            <v>Faktor kehilanganmaterial :</v>
          </cell>
          <cell r="D415" t="str">
            <v>:  M3</v>
          </cell>
          <cell r="E415" t="str">
            <v>- Agregat</v>
          </cell>
          <cell r="G415" t="str">
            <v>Fh1</v>
          </cell>
          <cell r="H415">
            <v>1.1000000000000001</v>
          </cell>
          <cell r="I415" t="str">
            <v>-</v>
          </cell>
        </row>
        <row r="416">
          <cell r="A416" t="str">
            <v/>
          </cell>
          <cell r="E416" t="str">
            <v>- Aspal</v>
          </cell>
          <cell r="G416" t="str">
            <v>Fh2</v>
          </cell>
          <cell r="H416">
            <v>1.05</v>
          </cell>
          <cell r="I416" t="str">
            <v>-</v>
          </cell>
          <cell r="J416" t="str">
            <v>Lanjutan</v>
          </cell>
        </row>
        <row r="417">
          <cell r="A417">
            <v>8</v>
          </cell>
          <cell r="C417" t="str">
            <v>Komposisi campuran Lapen (spesifikasi)  :</v>
          </cell>
        </row>
        <row r="418">
          <cell r="A418" t="str">
            <v>No.</v>
          </cell>
          <cell r="C418" t="str">
            <v>- Agregat Pokok</v>
          </cell>
          <cell r="G418" t="str">
            <v>Ak</v>
          </cell>
          <cell r="H418">
            <v>105</v>
          </cell>
          <cell r="I418" t="str">
            <v>Kg/M2</v>
          </cell>
          <cell r="J418" t="str">
            <v xml:space="preserve"> Tabel 6.6.3.</v>
          </cell>
        </row>
        <row r="419">
          <cell r="C419" t="str">
            <v>- Agregat Pengunci</v>
          </cell>
          <cell r="G419" t="str">
            <v>Ap1</v>
          </cell>
          <cell r="H419">
            <v>25</v>
          </cell>
          <cell r="I419" t="str">
            <v>Kg/M2</v>
          </cell>
          <cell r="J419" t="str">
            <v xml:space="preserve"> Tabel 6.6.3.</v>
          </cell>
        </row>
        <row r="420">
          <cell r="C420" t="str">
            <v>- Agregat Penutup</v>
          </cell>
          <cell r="G420" t="str">
            <v>Ap2</v>
          </cell>
          <cell r="H420">
            <v>14</v>
          </cell>
          <cell r="I420" t="str">
            <v>Kg/M2</v>
          </cell>
          <cell r="J420" t="str">
            <v xml:space="preserve"> Tabel 6.6.3.</v>
          </cell>
        </row>
        <row r="421">
          <cell r="C421" t="str">
            <v>- Aspal                  :</v>
          </cell>
          <cell r="D421" t="str">
            <v>- Paska Agregat Pokok</v>
          </cell>
          <cell r="G421" t="str">
            <v>As1</v>
          </cell>
          <cell r="H421">
            <v>3.7</v>
          </cell>
          <cell r="I421" t="str">
            <v>Kg/M2</v>
          </cell>
          <cell r="J421" t="str">
            <v xml:space="preserve"> Tabel 6.6.3.</v>
          </cell>
        </row>
        <row r="422">
          <cell r="D422" t="str">
            <v>- Paska Agregat Pengunci</v>
          </cell>
          <cell r="G422" t="str">
            <v>As2</v>
          </cell>
          <cell r="H422">
            <v>1.5</v>
          </cell>
          <cell r="I422" t="str">
            <v>Kg/M2</v>
          </cell>
          <cell r="J422" t="str">
            <v xml:space="preserve"> Tabel 6.6.3.</v>
          </cell>
        </row>
        <row r="423">
          <cell r="G423" t="str">
            <v>As</v>
          </cell>
          <cell r="H423">
            <v>104</v>
          </cell>
          <cell r="I423" t="str">
            <v>Kg/M3</v>
          </cell>
        </row>
        <row r="424">
          <cell r="A424">
            <v>9</v>
          </cell>
          <cell r="C424" t="str">
            <v>Berat jenis bahan  :</v>
          </cell>
          <cell r="D424" t="str">
            <v xml:space="preserve"> = 1 : Q1</v>
          </cell>
          <cell r="G424" t="str">
            <v>(E15)</v>
          </cell>
          <cell r="H424">
            <v>0</v>
          </cell>
          <cell r="I424" t="str">
            <v>Jam</v>
          </cell>
        </row>
        <row r="425">
          <cell r="C425" t="str">
            <v>- Agregat</v>
          </cell>
          <cell r="G425" t="str">
            <v>D1</v>
          </cell>
          <cell r="H425">
            <v>1.8</v>
          </cell>
          <cell r="I425" t="str">
            <v>ton / M3</v>
          </cell>
        </row>
        <row r="426">
          <cell r="A426" t="str">
            <v>2.b.</v>
          </cell>
          <cell r="C426" t="str">
            <v>- Aspal</v>
          </cell>
          <cell r="G426" t="str">
            <v>D2</v>
          </cell>
          <cell r="H426">
            <v>1.01</v>
          </cell>
          <cell r="I426" t="str">
            <v>ton / M3</v>
          </cell>
        </row>
        <row r="427">
          <cell r="C427" t="str">
            <v>- Agregat Penutup ( Pasir )</v>
          </cell>
          <cell r="G427" t="str">
            <v>D3</v>
          </cell>
          <cell r="H427">
            <v>1.67</v>
          </cell>
          <cell r="I427" t="str">
            <v>ton / M3</v>
          </cell>
        </row>
        <row r="428">
          <cell r="A428" t="str">
            <v>II.</v>
          </cell>
          <cell r="C428" t="str">
            <v>URUTAN KERJA</v>
          </cell>
          <cell r="G428" t="str">
            <v>Fa</v>
          </cell>
          <cell r="H428">
            <v>0.83</v>
          </cell>
          <cell r="I428" t="str">
            <v>-</v>
          </cell>
        </row>
        <row r="429">
          <cell r="A429">
            <v>1</v>
          </cell>
          <cell r="C429" t="str">
            <v>Permukaan dasar dibersihkan dan disemprot aspal cair</v>
          </cell>
          <cell r="G429" t="str">
            <v>v1</v>
          </cell>
          <cell r="H429">
            <v>40</v>
          </cell>
          <cell r="I429" t="str">
            <v>KM / Jam</v>
          </cell>
        </row>
        <row r="430">
          <cell r="A430">
            <v>2</v>
          </cell>
          <cell r="C430" t="str">
            <v>Agregat kasar dimuat ke dalam Dump Truck</v>
          </cell>
          <cell r="G430" t="str">
            <v>v2</v>
          </cell>
          <cell r="H430">
            <v>50</v>
          </cell>
          <cell r="I430" t="str">
            <v>KM / Jam</v>
          </cell>
        </row>
        <row r="431">
          <cell r="C431" t="str">
            <v>menggunakan Wheel Loader (di Base Camp)</v>
          </cell>
        </row>
        <row r="432">
          <cell r="A432">
            <v>3</v>
          </cell>
          <cell r="C432" t="str">
            <v>Agregat Kasar ditebarkan (manual) sesuai tebal yang diperlukan dan</v>
          </cell>
        </row>
        <row r="433">
          <cell r="C433" t="str">
            <v>dipadatkan dengan TW Roller (6-8 ton) minimum 6 lintasan</v>
          </cell>
          <cell r="G433" t="str">
            <v>Ts2</v>
          </cell>
        </row>
        <row r="434">
          <cell r="A434">
            <v>4</v>
          </cell>
          <cell r="C434" t="str">
            <v>Aspal disemprotkan di atas agregat kasar yang telah diratakan dengan</v>
          </cell>
          <cell r="G434" t="str">
            <v>T1</v>
          </cell>
          <cell r="H434">
            <v>0</v>
          </cell>
          <cell r="I434" t="str">
            <v>menit</v>
          </cell>
        </row>
        <row r="435">
          <cell r="C435" t="str">
            <v>Asphalt Sprayer (merata)</v>
          </cell>
          <cell r="D435" t="str">
            <v>= (L : v1) x 60 menit</v>
          </cell>
          <cell r="G435" t="str">
            <v>T2</v>
          </cell>
          <cell r="H435">
            <v>1.5</v>
          </cell>
          <cell r="I435" t="str">
            <v>menit</v>
          </cell>
        </row>
        <row r="436">
          <cell r="A436">
            <v>5</v>
          </cell>
          <cell r="C436" t="str">
            <v>Agregat Pengunci ditebarkan dan dipadatkan dengan cara yang sama</v>
          </cell>
          <cell r="G436" t="str">
            <v>T3</v>
          </cell>
          <cell r="H436">
            <v>15</v>
          </cell>
          <cell r="I436" t="str">
            <v>menit</v>
          </cell>
        </row>
        <row r="437">
          <cell r="A437" t="str">
            <v/>
          </cell>
          <cell r="C437" t="str">
            <v>dengan pemadatan agregat kasar disusul agregate penutup</v>
          </cell>
          <cell r="D437" t="str">
            <v>= (L : v2) x 60 menit</v>
          </cell>
          <cell r="G437" t="str">
            <v>T4</v>
          </cell>
          <cell r="H437">
            <v>1.2</v>
          </cell>
          <cell r="I437" t="str">
            <v>menit</v>
          </cell>
        </row>
        <row r="438">
          <cell r="G438" t="str">
            <v>Ts2</v>
          </cell>
          <cell r="H438">
            <v>17.7</v>
          </cell>
          <cell r="I438" t="str">
            <v>menit</v>
          </cell>
        </row>
        <row r="439">
          <cell r="A439" t="str">
            <v>III.</v>
          </cell>
          <cell r="C439" t="str">
            <v>PEMAKAIAN BAHAN, ALAT DAN TENAGA</v>
          </cell>
        </row>
        <row r="440">
          <cell r="A440" t="str">
            <v xml:space="preserve">   1.</v>
          </cell>
          <cell r="C440" t="str">
            <v>BAHAN</v>
          </cell>
          <cell r="D440" t="str">
            <v>V x Fa x 60</v>
          </cell>
          <cell r="G440" t="str">
            <v>Q2</v>
          </cell>
          <cell r="H440">
            <v>16.881399999999999</v>
          </cell>
          <cell r="I440" t="str">
            <v>M3</v>
          </cell>
        </row>
        <row r="441">
          <cell r="A441" t="str">
            <v>1.a.</v>
          </cell>
          <cell r="C441" t="str">
            <v>Agregat Kasar</v>
          </cell>
          <cell r="D441" t="str">
            <v>=  {(Ak/1000 : t M3) x Fh1} : D1</v>
          </cell>
          <cell r="G441" t="str">
            <v>(M03a)</v>
          </cell>
          <cell r="H441">
            <v>1.2833000000000001</v>
          </cell>
          <cell r="I441" t="str">
            <v>M3</v>
          </cell>
        </row>
        <row r="442">
          <cell r="A442" t="str">
            <v>1.b.</v>
          </cell>
          <cell r="C442" t="str">
            <v>Agregat Pengunci</v>
          </cell>
          <cell r="D442" t="str">
            <v>=  {(Ap1/1000 : t M3) x Fh1} : D1</v>
          </cell>
          <cell r="G442" t="str">
            <v>(M04a)</v>
          </cell>
          <cell r="H442">
            <v>0.30559999999999998</v>
          </cell>
          <cell r="I442" t="str">
            <v>M3</v>
          </cell>
        </row>
        <row r="443">
          <cell r="A443" t="str">
            <v>1.c.</v>
          </cell>
          <cell r="C443" t="str">
            <v>Agregat Penutup</v>
          </cell>
          <cell r="D443" t="str">
            <v>=  {(Ap2/1000 : t M3) x Fh1} : D3</v>
          </cell>
          <cell r="G443" t="str">
            <v>(M01)</v>
          </cell>
          <cell r="H443">
            <v>0.18440000000000001</v>
          </cell>
          <cell r="I443" t="str">
            <v>M3</v>
          </cell>
        </row>
        <row r="444">
          <cell r="A444" t="str">
            <v>1.d.</v>
          </cell>
          <cell r="C444" t="str">
            <v>Aspal</v>
          </cell>
          <cell r="D444" t="str">
            <v>=  {((As1+As2) : t M3) x Fh2}</v>
          </cell>
          <cell r="G444" t="str">
            <v>(M10)</v>
          </cell>
          <cell r="H444">
            <v>109.2</v>
          </cell>
          <cell r="I444" t="str">
            <v>Kg</v>
          </cell>
        </row>
        <row r="445">
          <cell r="A445" t="str">
            <v>2.c.</v>
          </cell>
          <cell r="C445" t="str">
            <v>THREE WHEEL ROLLER</v>
          </cell>
          <cell r="G445" t="str">
            <v>(E16)</v>
          </cell>
        </row>
        <row r="446">
          <cell r="A446" t="str">
            <v>2.</v>
          </cell>
          <cell r="C446" t="str">
            <v>ALAT</v>
          </cell>
          <cell r="G446" t="str">
            <v>v</v>
          </cell>
          <cell r="H446">
            <v>2</v>
          </cell>
          <cell r="I446" t="str">
            <v>Km / Jam</v>
          </cell>
        </row>
        <row r="447">
          <cell r="A447" t="str">
            <v>2.a.</v>
          </cell>
          <cell r="C447" t="str">
            <v>WHEEL LOADER</v>
          </cell>
          <cell r="G447" t="str">
            <v>(E15)</v>
          </cell>
          <cell r="H447">
            <v>1.2</v>
          </cell>
          <cell r="I447" t="str">
            <v>M</v>
          </cell>
        </row>
        <row r="448">
          <cell r="C448" t="str">
            <v>Kapasitas bucket</v>
          </cell>
          <cell r="G448" t="str">
            <v>V</v>
          </cell>
          <cell r="H448">
            <v>0</v>
          </cell>
          <cell r="I448" t="str">
            <v>M3</v>
          </cell>
        </row>
        <row r="449">
          <cell r="C449" t="str">
            <v>Faktor bucket</v>
          </cell>
          <cell r="G449" t="str">
            <v>Fb</v>
          </cell>
          <cell r="H449">
            <v>0</v>
          </cell>
          <cell r="I449" t="str">
            <v>-</v>
          </cell>
        </row>
        <row r="450">
          <cell r="C450" t="str">
            <v>Faktor efisiensi alat</v>
          </cell>
          <cell r="G450" t="str">
            <v>Fa</v>
          </cell>
          <cell r="H450">
            <v>0</v>
          </cell>
          <cell r="I450" t="str">
            <v>-</v>
          </cell>
        </row>
        <row r="451">
          <cell r="C451" t="str">
            <v>Waktu Siklus</v>
          </cell>
          <cell r="D451" t="str">
            <v>(v x 1000) x b x t x Fa</v>
          </cell>
          <cell r="G451" t="str">
            <v>Ts1</v>
          </cell>
          <cell r="H451">
            <v>12.45</v>
          </cell>
          <cell r="I451" t="str">
            <v>M3</v>
          </cell>
        </row>
        <row r="452">
          <cell r="C452" t="str">
            <v>- Memuat, menuang, kembali</v>
          </cell>
          <cell r="D452" t="str">
            <v>n</v>
          </cell>
          <cell r="G452" t="str">
            <v>T1</v>
          </cell>
          <cell r="H452">
            <v>0</v>
          </cell>
          <cell r="I452" t="str">
            <v>menit</v>
          </cell>
        </row>
        <row r="453">
          <cell r="C453" t="str">
            <v>- Menunggu, dan lain lain</v>
          </cell>
          <cell r="D453" t="str">
            <v xml:space="preserve"> =  1  :  Q3</v>
          </cell>
          <cell r="G453" t="str">
            <v>T2</v>
          </cell>
          <cell r="H453">
            <v>0</v>
          </cell>
          <cell r="I453" t="str">
            <v>menit</v>
          </cell>
        </row>
        <row r="454">
          <cell r="G454" t="str">
            <v>Ts1</v>
          </cell>
          <cell r="H454">
            <v>0</v>
          </cell>
          <cell r="I454" t="str">
            <v>menit</v>
          </cell>
        </row>
        <row r="455">
          <cell r="A455" t="str">
            <v>2.d.</v>
          </cell>
          <cell r="C455" t="str">
            <v>ASPHALT SPRAYER</v>
          </cell>
          <cell r="G455" t="str">
            <v>(E03)</v>
          </cell>
        </row>
        <row r="456">
          <cell r="C456" t="str">
            <v>Kapasitas alat</v>
          </cell>
          <cell r="G456" t="str">
            <v>V</v>
          </cell>
          <cell r="H456">
            <v>800</v>
          </cell>
          <cell r="I456" t="str">
            <v>liter</v>
          </cell>
          <cell r="J456" t="str">
            <v>Berlanjut ke halaman berikut</v>
          </cell>
        </row>
        <row r="457">
          <cell r="A457" t="str">
            <v>ITEM PEMBAYARAN NO.</v>
          </cell>
          <cell r="C457" t="str">
            <v>Faktor efisiensi alat</v>
          </cell>
          <cell r="D457" t="str">
            <v>:  6.6.1</v>
          </cell>
          <cell r="G457" t="str">
            <v>Fa</v>
          </cell>
          <cell r="H457">
            <v>0.83</v>
          </cell>
          <cell r="I457" t="str">
            <v>-</v>
          </cell>
          <cell r="J457" t="str">
            <v>Analisa EI-661</v>
          </cell>
        </row>
        <row r="458">
          <cell r="A458" t="str">
            <v>JENIS PEKERJAAN</v>
          </cell>
          <cell r="C458" t="str">
            <v>Waktu Siklus (termasuk proses pemanasan)</v>
          </cell>
          <cell r="D458" t="str">
            <v>:  Lapis Pen. Macadam Permukaan</v>
          </cell>
          <cell r="G458" t="str">
            <v>Ts3</v>
          </cell>
          <cell r="H458">
            <v>2</v>
          </cell>
          <cell r="I458" t="str">
            <v>Jam</v>
          </cell>
        </row>
        <row r="459">
          <cell r="A459" t="str">
            <v>SATUAN PEMBAYARAN</v>
          </cell>
          <cell r="D459" t="str">
            <v>:  M3</v>
          </cell>
          <cell r="H459" t="str">
            <v xml:space="preserve">         URAIAN ANALISA HARGA SATUAN</v>
          </cell>
        </row>
        <row r="460">
          <cell r="C460" t="str">
            <v>Kap. Prod. / jam =</v>
          </cell>
          <cell r="D460" t="str">
            <v>V x Fa x D2</v>
          </cell>
          <cell r="G460" t="str">
            <v>Q4</v>
          </cell>
          <cell r="H460">
            <v>3.2242000000000002</v>
          </cell>
          <cell r="I460" t="str">
            <v>M3</v>
          </cell>
          <cell r="J460" t="str">
            <v>Lanjutan</v>
          </cell>
        </row>
        <row r="461">
          <cell r="D461" t="str">
            <v>Ts3 x As2</v>
          </cell>
        </row>
        <row r="462">
          <cell r="A462" t="str">
            <v>No.</v>
          </cell>
          <cell r="C462" t="str">
            <v>U R A I A N</v>
          </cell>
          <cell r="D462" t="str">
            <v xml:space="preserve"> =  1  :  Q4</v>
          </cell>
          <cell r="G462" t="str">
            <v>KODE</v>
          </cell>
          <cell r="H462" t="str">
            <v>KOEF.</v>
          </cell>
          <cell r="I462" t="str">
            <v>SATUAN</v>
          </cell>
          <cell r="J462" t="str">
            <v>KETERANGAN</v>
          </cell>
        </row>
        <row r="465">
          <cell r="C465" t="str">
            <v xml:space="preserve">Kap. Prod. / jam = </v>
          </cell>
          <cell r="D465" t="str">
            <v>V x Fb x Fa x 60</v>
          </cell>
          <cell r="G465" t="str">
            <v>Q1</v>
          </cell>
          <cell r="H465">
            <v>0</v>
          </cell>
          <cell r="I465" t="str">
            <v>M3</v>
          </cell>
          <cell r="J465" t="str">
            <v/>
          </cell>
        </row>
        <row r="466">
          <cell r="D466" t="str">
            <v>Ts1</v>
          </cell>
        </row>
        <row r="468">
          <cell r="C468" t="str">
            <v>Koefisien Alat/M3</v>
          </cell>
          <cell r="D468" t="str">
            <v xml:space="preserve"> = 1 : Q1</v>
          </cell>
          <cell r="G468" t="str">
            <v>(E15)</v>
          </cell>
          <cell r="H468">
            <v>0</v>
          </cell>
          <cell r="I468" t="str">
            <v>Jam</v>
          </cell>
        </row>
        <row r="469">
          <cell r="C469" t="str">
            <v/>
          </cell>
        </row>
        <row r="470">
          <cell r="A470" t="str">
            <v>2.b.</v>
          </cell>
          <cell r="C470" t="str">
            <v>DUMP TRUCK (DT)</v>
          </cell>
          <cell r="G470" t="str">
            <v>(E09)</v>
          </cell>
          <cell r="J470" t="str">
            <v>Berlanjut ke halaman berikut</v>
          </cell>
        </row>
        <row r="471">
          <cell r="A471" t="str">
            <v>ITEM PEMBAYARAN NO.</v>
          </cell>
          <cell r="C471" t="str">
            <v>Kapasitas bak</v>
          </cell>
          <cell r="D471" t="str">
            <v>:  8.1 (7)</v>
          </cell>
          <cell r="G471" t="str">
            <v>V</v>
          </cell>
          <cell r="H471">
            <v>6</v>
          </cell>
          <cell r="I471" t="str">
            <v>M3</v>
          </cell>
          <cell r="J471" t="str">
            <v>Analisa EI-817</v>
          </cell>
        </row>
        <row r="472">
          <cell r="A472" t="str">
            <v>JENIS PEKERJAAN</v>
          </cell>
          <cell r="C472" t="str">
            <v>Faktor Efisiensi alat</v>
          </cell>
          <cell r="D472" t="str">
            <v>:  Penetrasi Macadam Utk.Pek.Minor</v>
          </cell>
          <cell r="G472" t="str">
            <v>Fa</v>
          </cell>
          <cell r="H472">
            <v>0.83</v>
          </cell>
          <cell r="I472" t="str">
            <v>-</v>
          </cell>
        </row>
        <row r="473">
          <cell r="A473" t="str">
            <v>SATUAN PEMBAYARAN</v>
          </cell>
          <cell r="C473" t="str">
            <v>Kecepatan rata-rata bermuatan</v>
          </cell>
          <cell r="D473" t="str">
            <v>:  M3</v>
          </cell>
          <cell r="G473" t="str">
            <v>v1</v>
          </cell>
          <cell r="H473">
            <v>40</v>
          </cell>
          <cell r="I473" t="str">
            <v>KM / Jam</v>
          </cell>
        </row>
        <row r="474">
          <cell r="C474" t="str">
            <v>Kecepatan rata-rata kosong</v>
          </cell>
          <cell r="G474" t="str">
            <v>v2</v>
          </cell>
          <cell r="H474">
            <v>50</v>
          </cell>
          <cell r="I474" t="str">
            <v>KM / Jam</v>
          </cell>
          <cell r="J474" t="str">
            <v>Lanjutan</v>
          </cell>
        </row>
        <row r="476">
          <cell r="A476" t="str">
            <v>No.</v>
          </cell>
          <cell r="C476" t="str">
            <v>U R A I A N</v>
          </cell>
          <cell r="G476" t="str">
            <v>KODE</v>
          </cell>
          <cell r="H476" t="str">
            <v>KOEF.</v>
          </cell>
          <cell r="I476" t="str">
            <v>SATUAN</v>
          </cell>
          <cell r="J476" t="str">
            <v>KETERANGAN</v>
          </cell>
        </row>
        <row r="477">
          <cell r="C477" t="str">
            <v>Waktu Siklus</v>
          </cell>
          <cell r="G477" t="str">
            <v>Ts2</v>
          </cell>
        </row>
        <row r="478">
          <cell r="C478" t="str">
            <v xml:space="preserve">- Mengisi Bak </v>
          </cell>
          <cell r="G478" t="str">
            <v>T1</v>
          </cell>
          <cell r="H478">
            <v>0</v>
          </cell>
          <cell r="I478" t="str">
            <v>menit</v>
          </cell>
        </row>
        <row r="479">
          <cell r="A479" t="str">
            <v>2.e.</v>
          </cell>
          <cell r="B479" t="str">
            <v/>
          </cell>
          <cell r="C479" t="str">
            <v>- Angkut</v>
          </cell>
          <cell r="D479" t="str">
            <v>= (L : v1) x 60 menit</v>
          </cell>
          <cell r="G479" t="str">
            <v>T2</v>
          </cell>
          <cell r="H479">
            <v>1.5</v>
          </cell>
          <cell r="I479" t="str">
            <v>menit</v>
          </cell>
        </row>
        <row r="480">
          <cell r="C480" t="str">
            <v>- Tunggu + dump + Putar</v>
          </cell>
          <cell r="D480">
            <v>75</v>
          </cell>
          <cell r="E480" t="str">
            <v>M3 pekerjaan</v>
          </cell>
          <cell r="G480" t="str">
            <v>T3</v>
          </cell>
          <cell r="H480">
            <v>10</v>
          </cell>
          <cell r="I480" t="str">
            <v>menit</v>
          </cell>
          <cell r="J480" t="str">
            <v>Lump Sum</v>
          </cell>
        </row>
        <row r="481">
          <cell r="C481" t="str">
            <v>- Kembali</v>
          </cell>
          <cell r="D481" t="str">
            <v>= (L : v2) x 60 menit</v>
          </cell>
          <cell r="G481" t="str">
            <v>T4</v>
          </cell>
          <cell r="H481">
            <v>1.2</v>
          </cell>
          <cell r="I481" t="str">
            <v>menit</v>
          </cell>
        </row>
        <row r="482">
          <cell r="C482" t="str">
            <v>- Sekop</v>
          </cell>
          <cell r="D482" t="str">
            <v>=  5  buah</v>
          </cell>
          <cell r="G482" t="str">
            <v>Ts2</v>
          </cell>
          <cell r="H482">
            <v>12.7</v>
          </cell>
          <cell r="I482" t="str">
            <v>menit</v>
          </cell>
        </row>
        <row r="483">
          <cell r="C483" t="str">
            <v>- Sapu</v>
          </cell>
          <cell r="D483" t="str">
            <v>=  5  buah</v>
          </cell>
        </row>
        <row r="484">
          <cell r="C484" t="str">
            <v>Kap.Prod. / jam =</v>
          </cell>
          <cell r="D484" t="str">
            <v>V x Fa x 60</v>
          </cell>
          <cell r="G484" t="str">
            <v>Q2</v>
          </cell>
          <cell r="H484">
            <v>23.5276</v>
          </cell>
          <cell r="I484" t="str">
            <v>M3</v>
          </cell>
        </row>
        <row r="485">
          <cell r="C485" t="str">
            <v>- Karung</v>
          </cell>
          <cell r="D485" t="str">
            <v>Ts2</v>
          </cell>
        </row>
        <row r="486">
          <cell r="C486" t="str">
            <v>- Cerek Aspal</v>
          </cell>
          <cell r="D486" t="str">
            <v>=  3  buah</v>
          </cell>
        </row>
        <row r="487">
          <cell r="C487" t="str">
            <v>Koefisien Alat / M3 = 1 : Q2</v>
          </cell>
          <cell r="D487" t="str">
            <v>=  3  buah</v>
          </cell>
          <cell r="G487" t="str">
            <v>(E09)</v>
          </cell>
          <cell r="H487">
            <v>4.2500000000000003E-2</v>
          </cell>
          <cell r="I487" t="str">
            <v>Jam</v>
          </cell>
        </row>
        <row r="489">
          <cell r="A489" t="str">
            <v>2.c.</v>
          </cell>
          <cell r="C489" t="str">
            <v>THREE WHEEL ROLLER</v>
          </cell>
          <cell r="G489" t="str">
            <v>(E16)</v>
          </cell>
        </row>
        <row r="490">
          <cell r="C490" t="str">
            <v>Kecepatan rata-rata alat</v>
          </cell>
          <cell r="G490" t="str">
            <v>v</v>
          </cell>
          <cell r="H490">
            <v>3.5</v>
          </cell>
          <cell r="I490" t="str">
            <v>Km / Jam</v>
          </cell>
        </row>
        <row r="491">
          <cell r="C491" t="str">
            <v>Lebar efektif pemadatan</v>
          </cell>
          <cell r="G491" t="str">
            <v>b</v>
          </cell>
          <cell r="H491">
            <v>1.2</v>
          </cell>
          <cell r="I491" t="str">
            <v>M</v>
          </cell>
        </row>
        <row r="492">
          <cell r="C492" t="str">
            <v>Jumlah lintasan</v>
          </cell>
          <cell r="G492" t="str">
            <v>n</v>
          </cell>
          <cell r="H492">
            <v>8</v>
          </cell>
          <cell r="I492" t="str">
            <v>lintasan</v>
          </cell>
          <cell r="J492" t="str">
            <v/>
          </cell>
        </row>
        <row r="493">
          <cell r="C493" t="str">
            <v>Faktor Efisiensi alat</v>
          </cell>
          <cell r="D493" t="str">
            <v>- Pekerja</v>
          </cell>
          <cell r="G493" t="str">
            <v>Fa</v>
          </cell>
          <cell r="H493">
            <v>0.83</v>
          </cell>
          <cell r="I493" t="str">
            <v>-</v>
          </cell>
        </row>
        <row r="494">
          <cell r="D494" t="str">
            <v>- Mandor</v>
          </cell>
          <cell r="G494" t="str">
            <v>M</v>
          </cell>
          <cell r="H494">
            <v>2</v>
          </cell>
          <cell r="I494" t="str">
            <v>orang</v>
          </cell>
        </row>
        <row r="495">
          <cell r="C495" t="str">
            <v xml:space="preserve">Kap. Prod. / jam = </v>
          </cell>
          <cell r="D495" t="str">
            <v>(v x 1000) x b x t x Fa</v>
          </cell>
          <cell r="G495" t="str">
            <v>Q3</v>
          </cell>
          <cell r="H495">
            <v>21.787500000000001</v>
          </cell>
          <cell r="I495" t="str">
            <v>M3</v>
          </cell>
        </row>
        <row r="496">
          <cell r="C496" t="str">
            <v>Koefisien Tenaga / M3     :</v>
          </cell>
          <cell r="D496" t="str">
            <v>n</v>
          </cell>
        </row>
        <row r="497">
          <cell r="C497" t="str">
            <v>Koefisien Alat / M3</v>
          </cell>
          <cell r="D497" t="str">
            <v xml:space="preserve"> =  1  :  Q3</v>
          </cell>
          <cell r="E497" t="str">
            <v>= (Tk x P) / Qt</v>
          </cell>
          <cell r="G497" t="str">
            <v>(E16)</v>
          </cell>
          <cell r="H497">
            <v>4.5897877223178424E-2</v>
          </cell>
          <cell r="I497" t="str">
            <v>Jam</v>
          </cell>
        </row>
        <row r="498">
          <cell r="D498" t="str">
            <v>- Mandor</v>
          </cell>
          <cell r="E498" t="str">
            <v>= (Tk x M) / Qt</v>
          </cell>
          <cell r="G498" t="str">
            <v>(L03)</v>
          </cell>
          <cell r="H498">
            <v>0.16059999999999999</v>
          </cell>
          <cell r="I498" t="str">
            <v>Jam</v>
          </cell>
        </row>
        <row r="499">
          <cell r="A499" t="str">
            <v>2.d.</v>
          </cell>
          <cell r="C499" t="str">
            <v>ASPHALT SPRAYER</v>
          </cell>
          <cell r="G499" t="str">
            <v>(E03)</v>
          </cell>
        </row>
        <row r="500">
          <cell r="C500" t="str">
            <v>Kapasitas alat</v>
          </cell>
          <cell r="G500" t="str">
            <v>V</v>
          </cell>
          <cell r="H500">
            <v>800</v>
          </cell>
          <cell r="I500" t="str">
            <v>liter</v>
          </cell>
        </row>
        <row r="501">
          <cell r="A501" t="str">
            <v>4.</v>
          </cell>
          <cell r="C501" t="str">
            <v>Faktor efisiensi alat</v>
          </cell>
          <cell r="G501" t="str">
            <v>Fa</v>
          </cell>
          <cell r="H501">
            <v>0.83</v>
          </cell>
          <cell r="I501" t="str">
            <v>-</v>
          </cell>
        </row>
        <row r="502">
          <cell r="C502" t="str">
            <v>Waktu Siklus (termasuk proses pemanasan)</v>
          </cell>
          <cell r="G502" t="str">
            <v>Ts3</v>
          </cell>
          <cell r="H502">
            <v>2</v>
          </cell>
          <cell r="I502" t="str">
            <v>Jam</v>
          </cell>
        </row>
        <row r="504">
          <cell r="A504" t="str">
            <v>5.</v>
          </cell>
          <cell r="C504" t="str">
            <v>Kap. Prod. / jam =</v>
          </cell>
          <cell r="D504" t="str">
            <v>V x Fa x D2</v>
          </cell>
          <cell r="G504" t="str">
            <v>Q4</v>
          </cell>
          <cell r="H504">
            <v>3.2242000000000002</v>
          </cell>
          <cell r="I504" t="str">
            <v>M3</v>
          </cell>
        </row>
        <row r="505">
          <cell r="C505" t="str">
            <v>Lihat perhitungan dalam FORMULIR STANDAR UNTUK</v>
          </cell>
          <cell r="D505" t="str">
            <v>Ts3 x (As)</v>
          </cell>
        </row>
        <row r="506">
          <cell r="C506" t="str">
            <v>Koefisien Alat / M3</v>
          </cell>
          <cell r="D506" t="str">
            <v xml:space="preserve"> =  1  :  Q4</v>
          </cell>
          <cell r="G506" t="str">
            <v>(E03)</v>
          </cell>
          <cell r="H506">
            <v>0.31019999999999998</v>
          </cell>
          <cell r="I506" t="str">
            <v>Jam</v>
          </cell>
        </row>
        <row r="507">
          <cell r="C507" t="str">
            <v>SATUAN.</v>
          </cell>
        </row>
        <row r="508">
          <cell r="C508" t="str">
            <v>Didapat Harga Satuan Pekerjaan :</v>
          </cell>
        </row>
        <row r="510">
          <cell r="C510" t="str">
            <v xml:space="preserve">Rp.  </v>
          </cell>
          <cell r="D510">
            <v>680866.65999999992</v>
          </cell>
          <cell r="E510" t="str">
            <v xml:space="preserve"> / M3.</v>
          </cell>
        </row>
        <row r="512">
          <cell r="C512" t="str">
            <v/>
          </cell>
        </row>
        <row r="513">
          <cell r="J513" t="str">
            <v>Berlanjut ke halaman berikut</v>
          </cell>
        </row>
        <row r="514">
          <cell r="A514" t="str">
            <v>ITEM PEMBAYARAN NO.</v>
          </cell>
          <cell r="D514" t="str">
            <v>:  6.6.1</v>
          </cell>
          <cell r="J514" t="str">
            <v>Analisa EI-661</v>
          </cell>
        </row>
        <row r="515">
          <cell r="A515" t="str">
            <v>JENIS PEKERJAAN</v>
          </cell>
          <cell r="D515" t="str">
            <v>:  Lapis Pen. Macadam Permukaan</v>
          </cell>
        </row>
        <row r="516">
          <cell r="A516" t="str">
            <v>SATUAN PEMBAYARAN</v>
          </cell>
          <cell r="D516" t="str">
            <v>:  M3</v>
          </cell>
          <cell r="H516" t="str">
            <v xml:space="preserve">         URAIAN ANALISA HARGA SATUAN</v>
          </cell>
        </row>
        <row r="517">
          <cell r="J517" t="str">
            <v>Lanjutan</v>
          </cell>
        </row>
        <row r="519">
          <cell r="A519" t="str">
            <v>No.</v>
          </cell>
          <cell r="C519" t="str">
            <v>U R A I A N</v>
          </cell>
          <cell r="G519" t="str">
            <v>KODE</v>
          </cell>
          <cell r="H519" t="str">
            <v>KOEF.</v>
          </cell>
          <cell r="I519" t="str">
            <v>SATUAN</v>
          </cell>
          <cell r="J519" t="str">
            <v>KETERANGAN</v>
          </cell>
        </row>
        <row r="522">
          <cell r="A522" t="str">
            <v>2.e.</v>
          </cell>
          <cell r="B522" t="str">
            <v/>
          </cell>
          <cell r="C522" t="str">
            <v>ALAT BANTU</v>
          </cell>
        </row>
        <row r="523">
          <cell r="C523" t="str">
            <v>diperlukan setiap  :</v>
          </cell>
          <cell r="D523">
            <v>75</v>
          </cell>
          <cell r="E523" t="str">
            <v>M3 pekerjaan</v>
          </cell>
          <cell r="J523" t="str">
            <v>Lump Sum</v>
          </cell>
        </row>
        <row r="524">
          <cell r="C524" t="str">
            <v>- Kereta dorong</v>
          </cell>
          <cell r="D524" t="str">
            <v>=  3  buah</v>
          </cell>
        </row>
        <row r="525">
          <cell r="C525" t="str">
            <v>- Sekop</v>
          </cell>
          <cell r="D525" t="str">
            <v>=  5  buah</v>
          </cell>
        </row>
        <row r="526">
          <cell r="C526" t="str">
            <v>- Sapu</v>
          </cell>
          <cell r="D526" t="str">
            <v>=  5  buah</v>
          </cell>
        </row>
        <row r="527">
          <cell r="C527" t="str">
            <v>- Sikat</v>
          </cell>
          <cell r="D527" t="str">
            <v>=  3  buah</v>
          </cell>
        </row>
        <row r="528">
          <cell r="C528" t="str">
            <v>- Karung</v>
          </cell>
          <cell r="D528" t="str">
            <v>=  5  buah</v>
          </cell>
        </row>
        <row r="529">
          <cell r="A529" t="str">
            <v>ITEM PEMBAYARAN NO.</v>
          </cell>
          <cell r="C529" t="str">
            <v>- Cerek Aspal</v>
          </cell>
          <cell r="D529" t="str">
            <v>=  3  buah</v>
          </cell>
          <cell r="J529" t="str">
            <v>Analisa EI-8.21</v>
          </cell>
        </row>
        <row r="530">
          <cell r="A530" t="str">
            <v>JENIS PEKERJAAN</v>
          </cell>
          <cell r="C530" t="str">
            <v>- Kaleng Aspal</v>
          </cell>
          <cell r="D530" t="str">
            <v>=  3  buah</v>
          </cell>
        </row>
        <row r="531">
          <cell r="A531" t="str">
            <v>SATUAN PEMBAYARAN</v>
          </cell>
          <cell r="D531" t="str">
            <v>:  M3</v>
          </cell>
          <cell r="H531" t="str">
            <v xml:space="preserve">         URAIAN ANALISA HARGA SATUAN</v>
          </cell>
        </row>
        <row r="532">
          <cell r="A532" t="str">
            <v xml:space="preserve">   3.</v>
          </cell>
          <cell r="C532" t="str">
            <v>TENAGA</v>
          </cell>
        </row>
        <row r="533">
          <cell r="C533" t="str">
            <v>Produksi menentukan (Produksi Thrre Wheel Roller)</v>
          </cell>
          <cell r="G533" t="str">
            <v>Q1</v>
          </cell>
          <cell r="H533">
            <v>21.787500000000001</v>
          </cell>
          <cell r="I533" t="str">
            <v>M3/Jam</v>
          </cell>
        </row>
        <row r="534">
          <cell r="A534" t="str">
            <v>No.</v>
          </cell>
          <cell r="C534" t="str">
            <v>Produksi Lapen / hari   =   Q1 x Tk</v>
          </cell>
          <cell r="G534" t="str">
            <v>Qt</v>
          </cell>
          <cell r="H534">
            <v>152.51249999999999</v>
          </cell>
          <cell r="I534" t="str">
            <v>M3</v>
          </cell>
          <cell r="J534" t="str">
            <v>KETERANGAN</v>
          </cell>
        </row>
        <row r="535">
          <cell r="C535" t="str">
            <v>Kebutuhan tenaga :</v>
          </cell>
        </row>
        <row r="536">
          <cell r="D536" t="str">
            <v>- Pekerja</v>
          </cell>
          <cell r="G536" t="str">
            <v>P</v>
          </cell>
          <cell r="H536">
            <v>100</v>
          </cell>
          <cell r="I536" t="str">
            <v>orang</v>
          </cell>
        </row>
        <row r="537">
          <cell r="A537" t="str">
            <v>I.</v>
          </cell>
          <cell r="C537" t="str">
            <v>ASUMSI</v>
          </cell>
          <cell r="D537" t="str">
            <v>- Mandor</v>
          </cell>
          <cell r="G537" t="str">
            <v>M</v>
          </cell>
          <cell r="H537">
            <v>3</v>
          </cell>
          <cell r="I537" t="str">
            <v>orang</v>
          </cell>
        </row>
        <row r="538">
          <cell r="A538">
            <v>1</v>
          </cell>
          <cell r="C538" t="str">
            <v>Menggunakan alat berat (cara mekanik)</v>
          </cell>
        </row>
        <row r="539">
          <cell r="A539">
            <v>2</v>
          </cell>
          <cell r="C539" t="str">
            <v>Koefisien Tenaga / M3     :</v>
          </cell>
        </row>
        <row r="540">
          <cell r="A540">
            <v>3</v>
          </cell>
          <cell r="C540" t="str">
            <v>Kondisi Jalan   :  sedang / baik</v>
          </cell>
          <cell r="D540" t="str">
            <v>- Pekerja</v>
          </cell>
          <cell r="E540" t="str">
            <v>= (Tk x P) / Qt</v>
          </cell>
          <cell r="G540" t="str">
            <v>(L01)</v>
          </cell>
          <cell r="H540">
            <v>4.5898000000000003</v>
          </cell>
          <cell r="I540" t="str">
            <v>Jam</v>
          </cell>
        </row>
        <row r="541">
          <cell r="A541">
            <v>4</v>
          </cell>
          <cell r="C541" t="str">
            <v>Jam kerja efektif per-hari</v>
          </cell>
          <cell r="D541" t="str">
            <v>- Mandor</v>
          </cell>
          <cell r="E541" t="str">
            <v>= (Tk x M) / Qt</v>
          </cell>
          <cell r="G541" t="str">
            <v>(L03)</v>
          </cell>
          <cell r="H541">
            <v>0.13769999999999999</v>
          </cell>
          <cell r="I541" t="str">
            <v>Jam</v>
          </cell>
        </row>
        <row r="542">
          <cell r="A542">
            <v>5</v>
          </cell>
          <cell r="C542" t="str">
            <v>Faktor pengembangan bahan</v>
          </cell>
          <cell r="G542" t="str">
            <v>Fk</v>
          </cell>
          <cell r="H542">
            <v>1.2</v>
          </cell>
          <cell r="I542" t="str">
            <v>-</v>
          </cell>
        </row>
        <row r="544">
          <cell r="A544" t="str">
            <v>4.</v>
          </cell>
          <cell r="C544" t="str">
            <v>HARGA DASAR SATUAN UPAH, BAHAN DAN ALAT</v>
          </cell>
        </row>
        <row r="545">
          <cell r="A545" t="str">
            <v>II.</v>
          </cell>
          <cell r="C545" t="str">
            <v>Lihat lampiran.</v>
          </cell>
        </row>
        <row r="546">
          <cell r="A546">
            <v>1</v>
          </cell>
          <cell r="C546" t="str">
            <v>Tanah yang dipotong umumnya berada disisi jalan</v>
          </cell>
        </row>
        <row r="547">
          <cell r="A547" t="str">
            <v>5.</v>
          </cell>
          <cell r="C547" t="str">
            <v>ANALISA HARGA SATUAN PEKERJAAN</v>
          </cell>
        </row>
        <row r="548">
          <cell r="A548">
            <v>3</v>
          </cell>
          <cell r="C548" t="str">
            <v>Lihat perhitungan dalam FORMULIR STANDAR UNTUK</v>
          </cell>
        </row>
        <row r="549">
          <cell r="C549" t="str">
            <v>PEREKEMAN ANALISA MASING-MASING HARGA</v>
          </cell>
        </row>
        <row r="550">
          <cell r="A550">
            <v>4</v>
          </cell>
          <cell r="C550" t="str">
            <v>SATUAN.</v>
          </cell>
        </row>
        <row r="551">
          <cell r="C551" t="str">
            <v>Didapat Harga Satuan Pekerjaan :</v>
          </cell>
          <cell r="G551" t="str">
            <v>L</v>
          </cell>
          <cell r="H551">
            <v>1</v>
          </cell>
          <cell r="I551" t="str">
            <v>Km</v>
          </cell>
        </row>
        <row r="553">
          <cell r="C553" t="str">
            <v xml:space="preserve">Rp.  </v>
          </cell>
          <cell r="D553">
            <v>668977.63984267134</v>
          </cell>
          <cell r="E553" t="str">
            <v xml:space="preserve"> / M3.</v>
          </cell>
        </row>
        <row r="554">
          <cell r="A554" t="str">
            <v>III.</v>
          </cell>
          <cell r="C554" t="str">
            <v>PEMAKAIAN BAHAN, ALAT DAN TENAGA</v>
          </cell>
        </row>
        <row r="556">
          <cell r="A556" t="str">
            <v xml:space="preserve">   1.</v>
          </cell>
          <cell r="C556" t="str">
            <v>BAHAN</v>
          </cell>
        </row>
        <row r="557">
          <cell r="C557" t="str">
            <v>Tidak ada bahan yang diperlukan</v>
          </cell>
        </row>
        <row r="559">
          <cell r="A559" t="str">
            <v xml:space="preserve">   2.</v>
          </cell>
          <cell r="C559" t="str">
            <v>ALAT</v>
          </cell>
        </row>
        <row r="560">
          <cell r="A560" t="str">
            <v xml:space="preserve">   2.a.</v>
          </cell>
          <cell r="C560" t="str">
            <v>EXCAVATOR</v>
          </cell>
          <cell r="G560" t="str">
            <v>(E10)</v>
          </cell>
        </row>
        <row r="561">
          <cell r="C561" t="str">
            <v>Kapasitas Bucket</v>
          </cell>
          <cell r="G561" t="str">
            <v>V</v>
          </cell>
          <cell r="H561">
            <v>0.5</v>
          </cell>
          <cell r="I561" t="str">
            <v>M3</v>
          </cell>
        </row>
        <row r="562">
          <cell r="C562" t="str">
            <v>Faktor Bucket</v>
          </cell>
          <cell r="G562" t="str">
            <v>Fb</v>
          </cell>
          <cell r="H562">
            <v>0.9</v>
          </cell>
          <cell r="I562" t="str">
            <v>-</v>
          </cell>
        </row>
        <row r="563">
          <cell r="C563" t="str">
            <v>Faktor  Efisiensi alat</v>
          </cell>
          <cell r="G563" t="str">
            <v>Fa</v>
          </cell>
          <cell r="H563">
            <v>0.83</v>
          </cell>
          <cell r="I563" t="str">
            <v>-</v>
          </cell>
        </row>
        <row r="564">
          <cell r="C564" t="str">
            <v>Faktor  material</v>
          </cell>
          <cell r="G564" t="str">
            <v>Fm</v>
          </cell>
          <cell r="H564" t="str">
            <v xml:space="preserve">  -  </v>
          </cell>
          <cell r="I564" t="str">
            <v>-</v>
          </cell>
        </row>
        <row r="565">
          <cell r="C565" t="str">
            <v>Waktu siklus</v>
          </cell>
          <cell r="G565" t="str">
            <v>Ts1</v>
          </cell>
          <cell r="I565" t="str">
            <v>menit</v>
          </cell>
        </row>
        <row r="566">
          <cell r="C566" t="str">
            <v>- Menggali / memuat</v>
          </cell>
          <cell r="G566" t="str">
            <v>T1</v>
          </cell>
          <cell r="H566">
            <v>0.35</v>
          </cell>
          <cell r="I566" t="str">
            <v>menit</v>
          </cell>
        </row>
        <row r="567">
          <cell r="C567" t="str">
            <v>- Lain-lain</v>
          </cell>
          <cell r="G567" t="str">
            <v>T2</v>
          </cell>
          <cell r="H567">
            <v>0.35</v>
          </cell>
          <cell r="I567" t="str">
            <v>menit</v>
          </cell>
        </row>
        <row r="568">
          <cell r="G568" t="str">
            <v>Ts1</v>
          </cell>
          <cell r="H568">
            <v>0.7</v>
          </cell>
          <cell r="I568" t="str">
            <v>menit</v>
          </cell>
        </row>
        <row r="570">
          <cell r="C570" t="str">
            <v>Kap. Prod. / jam =</v>
          </cell>
          <cell r="D570" t="str">
            <v>V  x Fb x Fa x Fm x 60</v>
          </cell>
          <cell r="G570" t="str">
            <v>Q1</v>
          </cell>
          <cell r="H570">
            <v>26.678599999999999</v>
          </cell>
          <cell r="I570" t="str">
            <v>M3  / jam</v>
          </cell>
        </row>
        <row r="571">
          <cell r="A571" t="str">
            <v>ITEM PEMBAYARAN NO.</v>
          </cell>
          <cell r="D571" t="str">
            <v>:  6.6.2</v>
          </cell>
          <cell r="J571" t="str">
            <v>Analisa EI-662</v>
          </cell>
        </row>
        <row r="572">
          <cell r="A572" t="str">
            <v>JENIS PEKERJAAN</v>
          </cell>
          <cell r="D572" t="str">
            <v>:  Lapis Pen. Macadam Perata</v>
          </cell>
        </row>
        <row r="573">
          <cell r="A573" t="str">
            <v>SATUAN PEMBAYARAN</v>
          </cell>
          <cell r="C573" t="str">
            <v>Koefisien Alat / M3</v>
          </cell>
          <cell r="D573" t="str">
            <v>:  M3</v>
          </cell>
          <cell r="G573" t="str">
            <v>(E10)</v>
          </cell>
          <cell r="H573" t="str">
            <v xml:space="preserve">         URAIAN ANALISA HARGA SATUAN</v>
          </cell>
          <cell r="I573" t="str">
            <v>Jam</v>
          </cell>
        </row>
        <row r="575">
          <cell r="A575" t="str">
            <v xml:space="preserve">   2.b.</v>
          </cell>
          <cell r="C575" t="str">
            <v>DUMP TRUCK</v>
          </cell>
          <cell r="G575" t="str">
            <v>(E08)</v>
          </cell>
        </row>
        <row r="576">
          <cell r="A576" t="str">
            <v>No.</v>
          </cell>
          <cell r="C576" t="str">
            <v>U R A I A N</v>
          </cell>
          <cell r="G576" t="str">
            <v>KODE</v>
          </cell>
          <cell r="H576" t="str">
            <v>KOEF.</v>
          </cell>
          <cell r="I576" t="str">
            <v>SATUAN</v>
          </cell>
          <cell r="J576" t="str">
            <v>KETERANGAN</v>
          </cell>
        </row>
        <row r="577">
          <cell r="C577" t="str">
            <v>Faktor  efisiensi alat</v>
          </cell>
          <cell r="G577" t="str">
            <v>Fa</v>
          </cell>
          <cell r="H577">
            <v>0.83</v>
          </cell>
        </row>
        <row r="578">
          <cell r="C578" t="str">
            <v>Kecepatan rata-rata bermuatan</v>
          </cell>
          <cell r="G578" t="str">
            <v>v1</v>
          </cell>
          <cell r="H578">
            <v>40</v>
          </cell>
          <cell r="I578" t="str">
            <v>Km/Jam</v>
          </cell>
        </row>
        <row r="579">
          <cell r="A579" t="str">
            <v>I.</v>
          </cell>
          <cell r="C579" t="str">
            <v>ASUMSI</v>
          </cell>
          <cell r="G579" t="str">
            <v>v2</v>
          </cell>
          <cell r="H579">
            <v>60</v>
          </cell>
          <cell r="I579" t="str">
            <v>Km/Jam</v>
          </cell>
        </row>
        <row r="580">
          <cell r="A580">
            <v>1</v>
          </cell>
          <cell r="C580" t="str">
            <v>Menggunakan alat berat (cara mekanik)</v>
          </cell>
          <cell r="G580" t="str">
            <v>Ts2</v>
          </cell>
          <cell r="I580" t="str">
            <v>menit</v>
          </cell>
        </row>
        <row r="581">
          <cell r="A581">
            <v>2</v>
          </cell>
          <cell r="C581" t="str">
            <v>Lokasi pekerjaan : sepanjang jalan</v>
          </cell>
          <cell r="E581" t="str">
            <v>=   (L  :  v1)  x  60</v>
          </cell>
          <cell r="G581" t="str">
            <v>T1</v>
          </cell>
          <cell r="H581">
            <v>1.5</v>
          </cell>
          <cell r="I581" t="str">
            <v>menit</v>
          </cell>
        </row>
        <row r="582">
          <cell r="A582">
            <v>3</v>
          </cell>
          <cell r="C582" t="str">
            <v>Kondisi existing jalan : sedang</v>
          </cell>
          <cell r="E582" t="str">
            <v>=   (L  :  v2)  x  60</v>
          </cell>
          <cell r="G582" t="str">
            <v>T2</v>
          </cell>
          <cell r="H582">
            <v>1</v>
          </cell>
          <cell r="I582" t="str">
            <v>menit</v>
          </cell>
        </row>
        <row r="583">
          <cell r="A583">
            <v>4</v>
          </cell>
          <cell r="C583" t="str">
            <v>Jarak rata-rata Base Camp ke lokasi pekerjaan</v>
          </cell>
          <cell r="E583" t="str">
            <v>=   (v  : Q1)  x  60</v>
          </cell>
          <cell r="G583" t="str">
            <v>L</v>
          </cell>
          <cell r="H583">
            <v>1</v>
          </cell>
          <cell r="I583" t="str">
            <v>KM</v>
          </cell>
        </row>
        <row r="584">
          <cell r="A584">
            <v>5</v>
          </cell>
          <cell r="C584" t="str">
            <v>Tebal rata2 Lapen</v>
          </cell>
          <cell r="G584" t="str">
            <v>t</v>
          </cell>
          <cell r="H584">
            <v>0.04</v>
          </cell>
          <cell r="I584" t="str">
            <v>M</v>
          </cell>
        </row>
        <row r="585">
          <cell r="A585">
            <v>6</v>
          </cell>
          <cell r="C585" t="str">
            <v>Jam kerja efektif per-hari</v>
          </cell>
          <cell r="G585" t="str">
            <v>Tk</v>
          </cell>
          <cell r="H585">
            <v>7</v>
          </cell>
          <cell r="I585" t="str">
            <v>Jam</v>
          </cell>
        </row>
        <row r="586">
          <cell r="A586">
            <v>7</v>
          </cell>
          <cell r="C586" t="str">
            <v>Faktor kehilanganmaterial :</v>
          </cell>
          <cell r="E586" t="str">
            <v>- Agregat</v>
          </cell>
          <cell r="G586" t="str">
            <v>Fh1</v>
          </cell>
          <cell r="H586">
            <v>1.1000000000000001</v>
          </cell>
          <cell r="I586" t="str">
            <v>-</v>
          </cell>
          <cell r="J586" t="str">
            <v>Berlanjut ke halaman berikut</v>
          </cell>
        </row>
        <row r="587">
          <cell r="A587" t="str">
            <v/>
          </cell>
          <cell r="D587" t="str">
            <v>:  8.2(1)</v>
          </cell>
          <cell r="E587" t="str">
            <v>- Aspal</v>
          </cell>
          <cell r="G587" t="str">
            <v>Fh2</v>
          </cell>
          <cell r="H587">
            <v>1.05</v>
          </cell>
          <cell r="I587" t="str">
            <v>-</v>
          </cell>
          <cell r="J587" t="str">
            <v>Analisa EI-8.21</v>
          </cell>
        </row>
        <row r="588">
          <cell r="A588">
            <v>8</v>
          </cell>
          <cell r="C588" t="str">
            <v>Komposisi campuran Lapen (spesifikasi)  :</v>
          </cell>
          <cell r="D588" t="str">
            <v>:  Galian Utk.Bahu &amp; Pek. Lainnya ,Rutin</v>
          </cell>
        </row>
        <row r="589">
          <cell r="A589" t="str">
            <v>SATUAN PEMBAYARAN</v>
          </cell>
          <cell r="C589" t="str">
            <v>- Agregat Pokok</v>
          </cell>
          <cell r="D589" t="str">
            <v>:  M3</v>
          </cell>
          <cell r="G589" t="str">
            <v>Ak</v>
          </cell>
          <cell r="H589">
            <v>114</v>
          </cell>
          <cell r="I589" t="str">
            <v>Kg/M2</v>
          </cell>
          <cell r="J589" t="str">
            <v xml:space="preserve"> Tabel 6.6.4.</v>
          </cell>
        </row>
        <row r="590">
          <cell r="C590" t="str">
            <v>- Agregat Pengunci</v>
          </cell>
          <cell r="G590" t="str">
            <v>Ap1</v>
          </cell>
          <cell r="H590">
            <v>25</v>
          </cell>
          <cell r="I590" t="str">
            <v>Kg/M2</v>
          </cell>
          <cell r="J590" t="str">
            <v xml:space="preserve"> Tabel 6.6.4.</v>
          </cell>
        </row>
        <row r="592">
          <cell r="A592" t="str">
            <v>No.</v>
          </cell>
          <cell r="C592" t="str">
            <v>- Aspal                  :</v>
          </cell>
          <cell r="D592" t="str">
            <v>- Paska Agregat Pokok</v>
          </cell>
          <cell r="G592" t="str">
            <v>As1</v>
          </cell>
          <cell r="H592">
            <v>4.4000000000000004</v>
          </cell>
          <cell r="I592" t="str">
            <v>Kg/M2</v>
          </cell>
          <cell r="J592" t="str">
            <v xml:space="preserve"> Tabel 6.6.4.</v>
          </cell>
        </row>
        <row r="593">
          <cell r="G593" t="str">
            <v>As</v>
          </cell>
          <cell r="H593">
            <v>110</v>
          </cell>
          <cell r="I593" t="str">
            <v>Kg/M3</v>
          </cell>
        </row>
        <row r="595">
          <cell r="A595">
            <v>9</v>
          </cell>
          <cell r="C595" t="str">
            <v>Berat jenis bahan  :</v>
          </cell>
          <cell r="E595" t="str">
            <v>V x Fa x 60</v>
          </cell>
          <cell r="G595" t="str">
            <v>Q2</v>
          </cell>
          <cell r="H595">
            <v>13.837899999999999</v>
          </cell>
          <cell r="I595" t="str">
            <v xml:space="preserve">M3 / Jam </v>
          </cell>
        </row>
        <row r="596">
          <cell r="C596" t="str">
            <v>- Agregat</v>
          </cell>
          <cell r="E596" t="str">
            <v xml:space="preserve">    Fk x Ts</v>
          </cell>
          <cell r="G596" t="str">
            <v>D1</v>
          </cell>
          <cell r="H596">
            <v>2</v>
          </cell>
          <cell r="I596" t="str">
            <v>ton / M3</v>
          </cell>
        </row>
        <row r="597">
          <cell r="C597" t="str">
            <v>- Aspal</v>
          </cell>
          <cell r="G597" t="str">
            <v>D2</v>
          </cell>
          <cell r="H597">
            <v>1.01</v>
          </cell>
          <cell r="I597" t="str">
            <v>ton / M3</v>
          </cell>
        </row>
        <row r="599">
          <cell r="A599" t="str">
            <v>II.</v>
          </cell>
          <cell r="C599" t="str">
            <v>URUTAN KERJA</v>
          </cell>
          <cell r="D599" t="str">
            <v xml:space="preserve"> =  1  :  Q2</v>
          </cell>
          <cell r="G599" t="str">
            <v>(E08)</v>
          </cell>
          <cell r="H599">
            <v>7.2300000000000003E-2</v>
          </cell>
          <cell r="I599" t="str">
            <v>jam</v>
          </cell>
        </row>
        <row r="600">
          <cell r="A600">
            <v>1</v>
          </cell>
          <cell r="C600" t="str">
            <v>Permukaan dasar dibersihkan dan disemprot aspal cair</v>
          </cell>
        </row>
        <row r="601">
          <cell r="A601">
            <v>2</v>
          </cell>
          <cell r="C601" t="str">
            <v>Agregat kasar dimuat ke dalam Dump Truck menggunakan Wheel</v>
          </cell>
        </row>
        <row r="602">
          <cell r="A602" t="str">
            <v>2.c.</v>
          </cell>
          <cell r="C602" t="str">
            <v>Loader (di Base Camp)</v>
          </cell>
        </row>
        <row r="603">
          <cell r="A603">
            <v>3</v>
          </cell>
          <cell r="C603" t="str">
            <v>Agregat Kasar ditebarkan (manual) sesuai tebal yang diperlukan dan</v>
          </cell>
          <cell r="J603" t="str">
            <v>Lump Sum</v>
          </cell>
        </row>
        <row r="604">
          <cell r="C604" t="str">
            <v>dipadatkan dengan TW Roller (6-8 ton) minimum 6 lintasan</v>
          </cell>
        </row>
        <row r="605">
          <cell r="A605">
            <v>4</v>
          </cell>
          <cell r="C605" t="str">
            <v>Aspal disemprotkan di atas agregat kasar yang telah</v>
          </cell>
        </row>
        <row r="606">
          <cell r="C606" t="str">
            <v>diratakan menggunakan Aspal Sprayer (merata)</v>
          </cell>
        </row>
        <row r="607">
          <cell r="A607">
            <v>5</v>
          </cell>
          <cell r="C607" t="str">
            <v>Agregat Pengunci ditebarkan dan dipadatkan dengan</v>
          </cell>
        </row>
        <row r="608">
          <cell r="A608" t="str">
            <v/>
          </cell>
          <cell r="C608" t="str">
            <v>cara yang sama dengan pemadatan agregat kasar</v>
          </cell>
          <cell r="G608" t="str">
            <v>Q1</v>
          </cell>
          <cell r="H608">
            <v>26.678599999999999</v>
          </cell>
          <cell r="I608" t="str">
            <v>M3  / jam</v>
          </cell>
        </row>
        <row r="609">
          <cell r="C609" t="str">
            <v xml:space="preserve">Produksi Galian / hari  =  </v>
          </cell>
          <cell r="G609" t="str">
            <v>Qt</v>
          </cell>
          <cell r="H609">
            <v>186.75020000000001</v>
          </cell>
          <cell r="I609" t="str">
            <v>M3</v>
          </cell>
        </row>
        <row r="610">
          <cell r="A610" t="str">
            <v>III.</v>
          </cell>
          <cell r="C610" t="str">
            <v>PEMAKAIAN BAHAN, ALAT DAN TENAGA</v>
          </cell>
        </row>
        <row r="611">
          <cell r="D611" t="str">
            <v>- Pekerja</v>
          </cell>
          <cell r="G611" t="str">
            <v>P</v>
          </cell>
          <cell r="H611">
            <v>3</v>
          </cell>
          <cell r="I611" t="str">
            <v>orang</v>
          </cell>
        </row>
        <row r="612">
          <cell r="A612" t="str">
            <v xml:space="preserve">   1.</v>
          </cell>
          <cell r="C612" t="str">
            <v>BAHAN</v>
          </cell>
          <cell r="D612" t="str">
            <v>- Mandor</v>
          </cell>
          <cell r="G612" t="str">
            <v>M</v>
          </cell>
          <cell r="H612">
            <v>1</v>
          </cell>
          <cell r="I612" t="str">
            <v>orang</v>
          </cell>
        </row>
        <row r="613">
          <cell r="A613" t="str">
            <v>1.a.</v>
          </cell>
          <cell r="C613" t="str">
            <v>Agregat Kasar</v>
          </cell>
          <cell r="D613" t="str">
            <v>=  {(Ak/1000 : t M3) x Fh1} : D1</v>
          </cell>
          <cell r="G613" t="str">
            <v>(M03a)</v>
          </cell>
          <cell r="H613">
            <v>1.5674999999999999</v>
          </cell>
          <cell r="I613" t="str">
            <v>M3</v>
          </cell>
        </row>
        <row r="614">
          <cell r="A614" t="str">
            <v>1.b.</v>
          </cell>
          <cell r="C614" t="str">
            <v>Agregat Pengunci</v>
          </cell>
          <cell r="D614" t="str">
            <v>=  {(Ap1/1000 : t M3) x Fh1} : D1</v>
          </cell>
          <cell r="G614" t="str">
            <v>(M04a)</v>
          </cell>
          <cell r="H614">
            <v>0.34379999999999999</v>
          </cell>
          <cell r="I614" t="str">
            <v>M3</v>
          </cell>
        </row>
        <row r="615">
          <cell r="A615" t="str">
            <v>1.c.</v>
          </cell>
          <cell r="C615" t="str">
            <v>Aspal</v>
          </cell>
          <cell r="D615" t="str">
            <v>=  {((As1) : t M3) x Fh2}</v>
          </cell>
          <cell r="E615" t="str">
            <v>= (Tk x P) : Qt</v>
          </cell>
          <cell r="G615" t="str">
            <v>(M10)</v>
          </cell>
          <cell r="H615">
            <v>115.5</v>
          </cell>
          <cell r="I615" t="str">
            <v>Kg</v>
          </cell>
        </row>
        <row r="616">
          <cell r="D616" t="str">
            <v>- Mandor</v>
          </cell>
          <cell r="E616" t="str">
            <v>= (Tk x M) : Qt</v>
          </cell>
          <cell r="G616" t="str">
            <v>(L03)</v>
          </cell>
          <cell r="H616">
            <v>3.7499999999999999E-2</v>
          </cell>
          <cell r="I616" t="str">
            <v>jam</v>
          </cell>
        </row>
        <row r="617">
          <cell r="A617" t="str">
            <v>2.</v>
          </cell>
          <cell r="C617" t="str">
            <v>ALAT</v>
          </cell>
        </row>
        <row r="618">
          <cell r="A618" t="str">
            <v>2.a.</v>
          </cell>
          <cell r="C618" t="str">
            <v>WHEEL LOADER</v>
          </cell>
          <cell r="G618" t="str">
            <v>(E15)</v>
          </cell>
        </row>
        <row r="619">
          <cell r="C619" t="str">
            <v>Kapasitas bucket</v>
          </cell>
          <cell r="G619" t="str">
            <v>V</v>
          </cell>
          <cell r="H619">
            <v>0</v>
          </cell>
          <cell r="I619" t="str">
            <v>M3</v>
          </cell>
        </row>
        <row r="620">
          <cell r="C620" t="str">
            <v>Faktor bucket</v>
          </cell>
          <cell r="G620" t="str">
            <v>Fb</v>
          </cell>
          <cell r="H620">
            <v>0</v>
          </cell>
          <cell r="I620" t="str">
            <v>-</v>
          </cell>
        </row>
        <row r="621">
          <cell r="A621" t="str">
            <v>5.</v>
          </cell>
          <cell r="C621" t="str">
            <v>Faktor efisiensi alat</v>
          </cell>
          <cell r="G621" t="str">
            <v>Fa</v>
          </cell>
          <cell r="H621">
            <v>0</v>
          </cell>
          <cell r="I621" t="str">
            <v>-</v>
          </cell>
        </row>
        <row r="622">
          <cell r="C622" t="str">
            <v>Waktu Siklus</v>
          </cell>
          <cell r="G622" t="str">
            <v>Ts1</v>
          </cell>
        </row>
        <row r="623">
          <cell r="C623" t="str">
            <v>- Memuat, menuang, kembali</v>
          </cell>
          <cell r="G623" t="str">
            <v>T1</v>
          </cell>
          <cell r="H623">
            <v>0</v>
          </cell>
          <cell r="I623" t="str">
            <v>menit</v>
          </cell>
        </row>
        <row r="624">
          <cell r="C624" t="str">
            <v>- Menunggu, dan lain lain</v>
          </cell>
          <cell r="G624" t="str">
            <v>T2</v>
          </cell>
          <cell r="H624">
            <v>0</v>
          </cell>
          <cell r="I624" t="str">
            <v>menit</v>
          </cell>
        </row>
        <row r="625">
          <cell r="C625" t="str">
            <v>Didapat Harga Satuan Pekerjaan :</v>
          </cell>
          <cell r="G625" t="str">
            <v>Ts1</v>
          </cell>
          <cell r="H625">
            <v>0</v>
          </cell>
          <cell r="I625" t="str">
            <v>menit</v>
          </cell>
        </row>
        <row r="627">
          <cell r="C627" t="str">
            <v xml:space="preserve">Rp.  </v>
          </cell>
          <cell r="D627">
            <v>17465.060000000001</v>
          </cell>
          <cell r="E627" t="str">
            <v xml:space="preserve"> / M3</v>
          </cell>
          <cell r="J627" t="str">
            <v>Berlanjut ke halaman berikut</v>
          </cell>
        </row>
        <row r="628">
          <cell r="A628" t="str">
            <v>ITEM PEMBAYARAN NO.</v>
          </cell>
          <cell r="D628" t="str">
            <v>:  6.6.2</v>
          </cell>
          <cell r="J628" t="str">
            <v>Analisa EI-662</v>
          </cell>
        </row>
        <row r="629">
          <cell r="A629" t="str">
            <v>JENIS PEKERJAAN</v>
          </cell>
          <cell r="D629" t="str">
            <v>:  Lapis Pen. Macadam Perata</v>
          </cell>
        </row>
        <row r="630">
          <cell r="A630" t="str">
            <v>SATUAN PEMBAYARAN</v>
          </cell>
          <cell r="D630" t="str">
            <v>:  M3</v>
          </cell>
          <cell r="H630" t="str">
            <v xml:space="preserve">         URAIAN ANALISA HARGA SATUAN</v>
          </cell>
        </row>
        <row r="631">
          <cell r="J631" t="str">
            <v>Lanjutan</v>
          </cell>
        </row>
        <row r="633">
          <cell r="A633" t="str">
            <v>No.</v>
          </cell>
          <cell r="C633" t="str">
            <v>U R A I A N</v>
          </cell>
          <cell r="G633" t="str">
            <v>KODE</v>
          </cell>
          <cell r="H633" t="str">
            <v>KOEF.</v>
          </cell>
          <cell r="I633" t="str">
            <v>SATUAN</v>
          </cell>
          <cell r="J633" t="str">
            <v>KETERANGAN</v>
          </cell>
        </row>
        <row r="636">
          <cell r="C636" t="str">
            <v xml:space="preserve">Kap. Prod. / jam = </v>
          </cell>
          <cell r="D636" t="str">
            <v>V x Fb x Fa x 60</v>
          </cell>
          <cell r="G636" t="str">
            <v>Q1</v>
          </cell>
          <cell r="H636">
            <v>0</v>
          </cell>
          <cell r="I636" t="str">
            <v>M3</v>
          </cell>
          <cell r="J636" t="str">
            <v/>
          </cell>
        </row>
        <row r="637">
          <cell r="D637" t="str">
            <v>Ts1</v>
          </cell>
        </row>
        <row r="639">
          <cell r="C639" t="str">
            <v>Koefisien Alat/M3</v>
          </cell>
          <cell r="D639" t="str">
            <v xml:space="preserve"> = 1 : Q1</v>
          </cell>
          <cell r="G639" t="str">
            <v>(E15)</v>
          </cell>
          <cell r="H639">
            <v>0</v>
          </cell>
          <cell r="I639" t="str">
            <v>Jam</v>
          </cell>
        </row>
        <row r="641">
          <cell r="A641" t="str">
            <v>2.b.</v>
          </cell>
          <cell r="C641" t="str">
            <v>DUMP TRUCK (DT)</v>
          </cell>
          <cell r="G641" t="str">
            <v>(E09)</v>
          </cell>
        </row>
        <row r="642">
          <cell r="C642" t="str">
            <v>Kapasitas bak</v>
          </cell>
          <cell r="G642" t="str">
            <v>V</v>
          </cell>
          <cell r="H642">
            <v>6</v>
          </cell>
          <cell r="I642" t="str">
            <v>M3</v>
          </cell>
        </row>
        <row r="643">
          <cell r="C643" t="str">
            <v>Faktor Efisiensi alat</v>
          </cell>
          <cell r="G643" t="str">
            <v>Fa</v>
          </cell>
          <cell r="H643">
            <v>0.83</v>
          </cell>
          <cell r="I643" t="str">
            <v>-</v>
          </cell>
        </row>
        <row r="644">
          <cell r="C644" t="str">
            <v>Kecepatan rata-rata bermuatan</v>
          </cell>
          <cell r="G644" t="str">
            <v>v1</v>
          </cell>
          <cell r="H644">
            <v>40</v>
          </cell>
          <cell r="I644" t="str">
            <v>KM / Jam</v>
          </cell>
        </row>
        <row r="645">
          <cell r="C645" t="str">
            <v>Kecepatan rata-rata kosong</v>
          </cell>
          <cell r="G645" t="str">
            <v>v2</v>
          </cell>
          <cell r="H645">
            <v>50</v>
          </cell>
          <cell r="I645" t="str">
            <v>KM / Jam</v>
          </cell>
        </row>
        <row r="648">
          <cell r="C648" t="str">
            <v>Waktu Siklus</v>
          </cell>
          <cell r="G648" t="str">
            <v>Ts2</v>
          </cell>
        </row>
        <row r="649">
          <cell r="C649" t="str">
            <v xml:space="preserve">- Mengisi Bak </v>
          </cell>
          <cell r="G649" t="str">
            <v>T1</v>
          </cell>
          <cell r="H649">
            <v>0</v>
          </cell>
          <cell r="I649" t="str">
            <v>menit</v>
          </cell>
        </row>
        <row r="650">
          <cell r="C650" t="str">
            <v>- Angkut</v>
          </cell>
          <cell r="D650" t="str">
            <v>= (L : v1) x 60 menit</v>
          </cell>
          <cell r="G650" t="str">
            <v>T2</v>
          </cell>
          <cell r="H650">
            <v>1.5</v>
          </cell>
          <cell r="I650" t="str">
            <v>menit</v>
          </cell>
        </row>
        <row r="651">
          <cell r="C651" t="str">
            <v>- Tunggu + dump + Putar</v>
          </cell>
          <cell r="G651" t="str">
            <v>T3</v>
          </cell>
          <cell r="H651">
            <v>10</v>
          </cell>
          <cell r="I651" t="str">
            <v>menit</v>
          </cell>
        </row>
        <row r="652">
          <cell r="C652" t="str">
            <v>- Kembali</v>
          </cell>
          <cell r="D652" t="str">
            <v>= (L : v2) x 60 menit</v>
          </cell>
          <cell r="G652" t="str">
            <v>T4</v>
          </cell>
          <cell r="H652">
            <v>1.2</v>
          </cell>
          <cell r="I652" t="str">
            <v>menit</v>
          </cell>
        </row>
        <row r="653">
          <cell r="G653" t="str">
            <v>Ts2</v>
          </cell>
          <cell r="H653">
            <v>12.7</v>
          </cell>
          <cell r="I653" t="str">
            <v>menit</v>
          </cell>
        </row>
        <row r="655">
          <cell r="C655" t="str">
            <v>Kap.Prod. / jam =</v>
          </cell>
          <cell r="D655" t="str">
            <v>V x Fa x 60</v>
          </cell>
          <cell r="G655" t="str">
            <v>Q2</v>
          </cell>
          <cell r="H655">
            <v>23.5276</v>
          </cell>
          <cell r="I655" t="str">
            <v>M3</v>
          </cell>
        </row>
        <row r="656">
          <cell r="D656" t="str">
            <v>Ts2</v>
          </cell>
        </row>
        <row r="658">
          <cell r="C658" t="str">
            <v>Koefisien Alat / M3 = 1 : Q2</v>
          </cell>
          <cell r="D658" t="str">
            <v>= 1 : Q2</v>
          </cell>
          <cell r="G658" t="str">
            <v>(E09)</v>
          </cell>
          <cell r="H658">
            <v>4.2500000000000003E-2</v>
          </cell>
          <cell r="I658" t="str">
            <v>Jam</v>
          </cell>
        </row>
        <row r="660">
          <cell r="A660" t="str">
            <v>2.c.</v>
          </cell>
          <cell r="C660" t="str">
            <v>THREE WHEEL ROLLER</v>
          </cell>
          <cell r="G660" t="str">
            <v>(E16)</v>
          </cell>
        </row>
        <row r="661">
          <cell r="C661" t="str">
            <v>Kecepatan rata-rata alat</v>
          </cell>
          <cell r="G661" t="str">
            <v>v</v>
          </cell>
          <cell r="H661">
            <v>3.5</v>
          </cell>
          <cell r="I661" t="str">
            <v>Km / Jam</v>
          </cell>
        </row>
        <row r="662">
          <cell r="C662" t="str">
            <v>Lebar efektif pemadatan</v>
          </cell>
          <cell r="G662" t="str">
            <v>b</v>
          </cell>
          <cell r="H662">
            <v>1.2</v>
          </cell>
          <cell r="I662" t="str">
            <v>M</v>
          </cell>
        </row>
        <row r="663">
          <cell r="C663" t="str">
            <v>Jumlah lintasan</v>
          </cell>
          <cell r="G663" t="str">
            <v>n</v>
          </cell>
          <cell r="H663">
            <v>8</v>
          </cell>
          <cell r="I663" t="str">
            <v>lintasan</v>
          </cell>
          <cell r="J663" t="str">
            <v>4 Awal &amp; 4 Akhir</v>
          </cell>
        </row>
        <row r="664">
          <cell r="C664" t="str">
            <v>Faktor Efisiensi alat</v>
          </cell>
          <cell r="G664" t="str">
            <v>Fa</v>
          </cell>
          <cell r="H664">
            <v>0.83</v>
          </cell>
          <cell r="I664" t="str">
            <v>-</v>
          </cell>
        </row>
        <row r="666">
          <cell r="C666" t="str">
            <v xml:space="preserve">Kap. Prod. / jam = </v>
          </cell>
          <cell r="D666" t="str">
            <v>(v x 1000) x b x t x Fa</v>
          </cell>
          <cell r="G666" t="str">
            <v>Q3</v>
          </cell>
          <cell r="H666">
            <v>17.43</v>
          </cell>
          <cell r="I666" t="str">
            <v>M3</v>
          </cell>
        </row>
        <row r="667">
          <cell r="D667" t="str">
            <v>n</v>
          </cell>
        </row>
        <row r="668">
          <cell r="C668" t="str">
            <v>Koefisien Alat / M3</v>
          </cell>
          <cell r="D668" t="str">
            <v xml:space="preserve"> =  1  :  Q3</v>
          </cell>
          <cell r="G668" t="str">
            <v>(E16)</v>
          </cell>
          <cell r="H668">
            <v>5.74E-2</v>
          </cell>
          <cell r="I668" t="str">
            <v>Jam</v>
          </cell>
        </row>
        <row r="670">
          <cell r="A670" t="str">
            <v>2.d.</v>
          </cell>
          <cell r="C670" t="str">
            <v>ASPHALT SPRAYER</v>
          </cell>
          <cell r="G670" t="str">
            <v>(E03)</v>
          </cell>
        </row>
        <row r="671">
          <cell r="C671" t="str">
            <v>Kapasitas alat</v>
          </cell>
          <cell r="G671" t="str">
            <v>V</v>
          </cell>
          <cell r="H671">
            <v>800</v>
          </cell>
          <cell r="I671" t="str">
            <v>liter</v>
          </cell>
        </row>
        <row r="672">
          <cell r="C672" t="str">
            <v>Faktor efisiensi alat</v>
          </cell>
          <cell r="G672" t="str">
            <v>Fa</v>
          </cell>
          <cell r="H672">
            <v>0.83</v>
          </cell>
          <cell r="I672" t="str">
            <v>-</v>
          </cell>
        </row>
        <row r="673">
          <cell r="C673" t="str">
            <v>Waktu Siklus (termasuk proses pemanasan)</v>
          </cell>
          <cell r="G673" t="str">
            <v>Ts3</v>
          </cell>
          <cell r="H673">
            <v>2</v>
          </cell>
          <cell r="I673" t="str">
            <v>Jam</v>
          </cell>
        </row>
        <row r="675">
          <cell r="C675" t="str">
            <v>Kap. Prod. / jam =</v>
          </cell>
          <cell r="D675" t="str">
            <v>V x Fa x D2</v>
          </cell>
          <cell r="G675" t="str">
            <v>Q4</v>
          </cell>
          <cell r="H675">
            <v>3.0484</v>
          </cell>
          <cell r="I675" t="str">
            <v>M3</v>
          </cell>
        </row>
        <row r="676">
          <cell r="D676" t="str">
            <v>Ts3 x As</v>
          </cell>
        </row>
        <row r="677">
          <cell r="C677" t="str">
            <v>Koefisien Alat / M3</v>
          </cell>
          <cell r="D677" t="str">
            <v xml:space="preserve"> =  1  :  Q4</v>
          </cell>
          <cell r="G677" t="str">
            <v>(E03)</v>
          </cell>
          <cell r="H677">
            <v>0.32800000000000001</v>
          </cell>
          <cell r="I677" t="str">
            <v>Jam</v>
          </cell>
        </row>
        <row r="683">
          <cell r="C683" t="str">
            <v/>
          </cell>
        </row>
        <row r="684">
          <cell r="J684" t="str">
            <v>Berlanjut ke halaman berikut</v>
          </cell>
        </row>
        <row r="685">
          <cell r="A685" t="str">
            <v>ITEM PEMBAYARAN NO.</v>
          </cell>
          <cell r="D685" t="str">
            <v>:  6.6.2</v>
          </cell>
          <cell r="J685" t="str">
            <v>Analisa EI-662</v>
          </cell>
        </row>
        <row r="686">
          <cell r="A686" t="str">
            <v>JENIS PEKERJAAN</v>
          </cell>
          <cell r="D686" t="str">
            <v>:  Lapis Pen. Macadam Perata</v>
          </cell>
        </row>
        <row r="687">
          <cell r="A687" t="str">
            <v>SATUAN PEMBAYARAN</v>
          </cell>
          <cell r="D687" t="str">
            <v>:  M3</v>
          </cell>
          <cell r="H687" t="str">
            <v xml:space="preserve">         URAIAN ANALISA HARGA SATUAN</v>
          </cell>
        </row>
        <row r="688">
          <cell r="J688" t="str">
            <v>Lanjutan</v>
          </cell>
        </row>
        <row r="690">
          <cell r="A690" t="str">
            <v>No.</v>
          </cell>
          <cell r="C690" t="str">
            <v>U R A I A N</v>
          </cell>
          <cell r="G690" t="str">
            <v>KODE</v>
          </cell>
          <cell r="H690" t="str">
            <v>KOEF.</v>
          </cell>
          <cell r="I690" t="str">
            <v>SATUAN</v>
          </cell>
          <cell r="J690" t="str">
            <v>KETERANGAN</v>
          </cell>
        </row>
        <row r="693">
          <cell r="A693" t="str">
            <v>2.e.</v>
          </cell>
          <cell r="B693" t="str">
            <v/>
          </cell>
          <cell r="C693" t="str">
            <v>ALAT BANTU</v>
          </cell>
        </row>
        <row r="694">
          <cell r="C694" t="str">
            <v>diperlukan setiap  :</v>
          </cell>
          <cell r="D694">
            <v>75</v>
          </cell>
          <cell r="E694" t="str">
            <v>M3 pekerjaan</v>
          </cell>
          <cell r="J694" t="str">
            <v>Lump Sum</v>
          </cell>
        </row>
        <row r="695">
          <cell r="C695" t="str">
            <v>- Kereta dorong</v>
          </cell>
          <cell r="D695" t="str">
            <v>=  3  buah</v>
          </cell>
        </row>
        <row r="696">
          <cell r="C696" t="str">
            <v>- Sekop</v>
          </cell>
          <cell r="D696" t="str">
            <v>=  5  buah</v>
          </cell>
        </row>
        <row r="697">
          <cell r="C697" t="str">
            <v>- Sapu</v>
          </cell>
          <cell r="D697" t="str">
            <v>=  5  buah</v>
          </cell>
        </row>
        <row r="698">
          <cell r="C698" t="str">
            <v>- Sikat</v>
          </cell>
          <cell r="D698" t="str">
            <v>=  3  buah</v>
          </cell>
        </row>
        <row r="699">
          <cell r="C699" t="str">
            <v>- Karung</v>
          </cell>
          <cell r="D699" t="str">
            <v>=  5  buah</v>
          </cell>
        </row>
        <row r="700">
          <cell r="C700" t="str">
            <v>- Cerek Aspal</v>
          </cell>
          <cell r="D700" t="str">
            <v>=  3  buah</v>
          </cell>
        </row>
        <row r="701">
          <cell r="C701" t="str">
            <v>- Kaleng Aspal</v>
          </cell>
          <cell r="D701" t="str">
            <v>=  3  buah</v>
          </cell>
        </row>
        <row r="703">
          <cell r="A703" t="str">
            <v xml:space="preserve">   3.</v>
          </cell>
          <cell r="C703" t="str">
            <v>TENAGA</v>
          </cell>
        </row>
        <row r="704">
          <cell r="C704" t="str">
            <v>Produksi menentukan (Produksi Three Wheel Roller)</v>
          </cell>
          <cell r="G704" t="str">
            <v>Q1</v>
          </cell>
          <cell r="H704">
            <v>17.43</v>
          </cell>
          <cell r="I704" t="str">
            <v>M3/Jam</v>
          </cell>
        </row>
        <row r="705">
          <cell r="C705" t="str">
            <v>Produksi Lapen / hari   =   Q1 x Tk</v>
          </cell>
          <cell r="G705" t="str">
            <v>Qt</v>
          </cell>
          <cell r="H705">
            <v>122.01</v>
          </cell>
          <cell r="I705" t="str">
            <v>M3</v>
          </cell>
        </row>
        <row r="706">
          <cell r="C706" t="str">
            <v>Kebutuhan tenaga :</v>
          </cell>
        </row>
        <row r="707">
          <cell r="D707" t="str">
            <v>- Pekerja</v>
          </cell>
          <cell r="G707" t="str">
            <v>P</v>
          </cell>
          <cell r="H707">
            <v>100</v>
          </cell>
          <cell r="I707" t="str">
            <v>orang</v>
          </cell>
        </row>
        <row r="708">
          <cell r="D708" t="str">
            <v>- Mandor</v>
          </cell>
          <cell r="G708" t="str">
            <v>M</v>
          </cell>
          <cell r="H708">
            <v>3</v>
          </cell>
          <cell r="I708" t="str">
            <v>orang</v>
          </cell>
        </row>
        <row r="710">
          <cell r="C710" t="str">
            <v>Koefisien Tenaga / M3     :</v>
          </cell>
        </row>
        <row r="711">
          <cell r="D711" t="str">
            <v>- Pekerja</v>
          </cell>
          <cell r="E711" t="str">
            <v>= (Tk x P) / Qt</v>
          </cell>
          <cell r="G711" t="str">
            <v>(L01)</v>
          </cell>
          <cell r="H711">
            <v>5.7371999999999996</v>
          </cell>
          <cell r="I711" t="str">
            <v>Jam</v>
          </cell>
        </row>
        <row r="712">
          <cell r="D712" t="str">
            <v>- Mandor</v>
          </cell>
          <cell r="E712" t="str">
            <v>= (Tk x M) / Qt</v>
          </cell>
          <cell r="G712" t="str">
            <v>(L03)</v>
          </cell>
          <cell r="H712">
            <v>0.1721</v>
          </cell>
          <cell r="I712" t="str">
            <v>Jam</v>
          </cell>
        </row>
        <row r="715">
          <cell r="A715" t="str">
            <v>4.</v>
          </cell>
          <cell r="C715" t="str">
            <v>HARGA DASAR SATUAN UPAH, BAHAN DAN ALAT</v>
          </cell>
        </row>
        <row r="716">
          <cell r="C716" t="str">
            <v>Lihat lampiran.</v>
          </cell>
        </row>
        <row r="718">
          <cell r="A718" t="str">
            <v>5.</v>
          </cell>
          <cell r="C718" t="str">
            <v>ANALISA HARGA SATUAN PEKERJAAN</v>
          </cell>
        </row>
        <row r="719">
          <cell r="C719" t="str">
            <v>Lihat perhitungan dalam FORMULIR STANDAR UNTUK</v>
          </cell>
        </row>
        <row r="720">
          <cell r="C720" t="str">
            <v>PEREKEMAN ANALISA MASING-MASING HARGA</v>
          </cell>
        </row>
        <row r="721">
          <cell r="C721" t="str">
            <v>SATUAN.</v>
          </cell>
        </row>
        <row r="722">
          <cell r="C722" t="str">
            <v>Didapat Harga Satuan Pekerjaan :</v>
          </cell>
        </row>
        <row r="724">
          <cell r="C724" t="str">
            <v xml:space="preserve">Rp.  </v>
          </cell>
          <cell r="D724">
            <v>730439.57</v>
          </cell>
          <cell r="E724" t="str">
            <v xml:space="preserve"> / M3.</v>
          </cell>
        </row>
      </sheetData>
      <sheetData sheetId="12" refreshError="1">
        <row r="1">
          <cell r="A1" t="str">
            <v>ITEM PEMBAYARAN NO.</v>
          </cell>
          <cell r="D1" t="str">
            <v>:  8.1(1)</v>
          </cell>
          <cell r="J1" t="str">
            <v>Analisa EI-811</v>
          </cell>
          <cell r="T1" t="str">
            <v>Analisa EI-811</v>
          </cell>
        </row>
        <row r="2">
          <cell r="A2" t="str">
            <v>JENIS PEKERJAAN</v>
          </cell>
          <cell r="D2" t="str">
            <v>:  Pondasi Agregat Kls. A Untuk Pek Minor</v>
          </cell>
        </row>
        <row r="3">
          <cell r="A3" t="str">
            <v>SATUAN PEMBAYARAN</v>
          </cell>
          <cell r="D3" t="str">
            <v>:  M3</v>
          </cell>
          <cell r="H3" t="str">
            <v xml:space="preserve">         URAIAN ANALISA HARGA SATUAN</v>
          </cell>
          <cell r="L3" t="str">
            <v>FORMULIR STANDAR UNTUK</v>
          </cell>
        </row>
        <row r="4">
          <cell r="L4" t="str">
            <v>PEREKAMAN ANALISA MASING-MASING HARGA SATUAN</v>
          </cell>
        </row>
        <row r="6">
          <cell r="A6" t="str">
            <v>No.</v>
          </cell>
          <cell r="C6" t="str">
            <v>U R A I A N</v>
          </cell>
          <cell r="G6" t="str">
            <v>KODE</v>
          </cell>
          <cell r="H6" t="str">
            <v>KOEF.</v>
          </cell>
          <cell r="I6" t="str">
            <v>SATUAN</v>
          </cell>
          <cell r="J6" t="str">
            <v>KETERANGAN</v>
          </cell>
          <cell r="L6" t="str">
            <v>PROYEK</v>
          </cell>
          <cell r="O6" t="str">
            <v>:  Peningkatan Jalan dan Jembatan Wilayah Barat</v>
          </cell>
        </row>
        <row r="7">
          <cell r="L7" t="str">
            <v>No. PAKET KONTRAK</v>
          </cell>
          <cell r="O7" t="str">
            <v xml:space="preserve">: </v>
          </cell>
        </row>
        <row r="8">
          <cell r="L8" t="str">
            <v>PROYEK</v>
          </cell>
          <cell r="O8" t="str">
            <v>:  Peningkatan Jalan dan Jembatan Wilayah Barat</v>
          </cell>
        </row>
        <row r="9">
          <cell r="A9" t="str">
            <v>I.</v>
          </cell>
          <cell r="C9" t="str">
            <v>ASUMSI</v>
          </cell>
          <cell r="L9" t="str">
            <v>No. PAKET KONTRAK</v>
          </cell>
          <cell r="O9" t="str">
            <v xml:space="preserve">: </v>
          </cell>
        </row>
        <row r="10">
          <cell r="A10">
            <v>1</v>
          </cell>
          <cell r="C10" t="str">
            <v>Menggunakan alat berat (cara mekanik)</v>
          </cell>
          <cell r="L10" t="str">
            <v>PEKERJAAN</v>
          </cell>
          <cell r="O10" t="str">
            <v>:  Pembangunan Jembatan Beton Tersebar di Wilayah Barat</v>
          </cell>
        </row>
        <row r="11">
          <cell r="A11">
            <v>2</v>
          </cell>
          <cell r="C11" t="str">
            <v>Lokasi pekerjaan : setempat2 di sepanjang jalan</v>
          </cell>
          <cell r="L11" t="str">
            <v>KABUPATEN</v>
          </cell>
          <cell r="O11" t="str">
            <v>:  Lampung Timur</v>
          </cell>
        </row>
        <row r="12">
          <cell r="A12">
            <v>3</v>
          </cell>
          <cell r="C12" t="str">
            <v>Kondisi existing jalan : sedang</v>
          </cell>
          <cell r="G12" t="str">
            <v>L</v>
          </cell>
          <cell r="H12">
            <v>1</v>
          </cell>
          <cell r="I12" t="str">
            <v>KM</v>
          </cell>
          <cell r="L12" t="str">
            <v>MATA PEMBAYARAN NO.</v>
          </cell>
          <cell r="O12" t="str">
            <v>:  8.1(1)</v>
          </cell>
        </row>
        <row r="13">
          <cell r="A13">
            <v>4</v>
          </cell>
          <cell r="C13" t="str">
            <v>Jarak rata-rata Base Camp ke lokasi pekerjaan</v>
          </cell>
          <cell r="G13" t="str">
            <v>L</v>
          </cell>
          <cell r="H13">
            <v>1</v>
          </cell>
          <cell r="I13" t="str">
            <v>KM</v>
          </cell>
          <cell r="L13" t="str">
            <v>JENIS PEKERJAAN</v>
          </cell>
          <cell r="O13" t="str">
            <v>:  Pondasi Agregat Kls. A Untuk  Pek. Minor</v>
          </cell>
        </row>
        <row r="14">
          <cell r="A14">
            <v>5</v>
          </cell>
          <cell r="C14" t="str">
            <v>Tebal lapis agregat padat</v>
          </cell>
          <cell r="G14" t="str">
            <v>t</v>
          </cell>
          <cell r="H14">
            <v>0.15</v>
          </cell>
          <cell r="I14" t="str">
            <v>M</v>
          </cell>
          <cell r="L14" t="str">
            <v>SATUAN PEMBAYARAN</v>
          </cell>
          <cell r="O14" t="str">
            <v>:  M3</v>
          </cell>
        </row>
        <row r="15">
          <cell r="A15">
            <v>6</v>
          </cell>
          <cell r="C15" t="str">
            <v>Faktor kembang material (Padat-Lepas)</v>
          </cell>
          <cell r="G15" t="str">
            <v>Fk</v>
          </cell>
          <cell r="H15">
            <v>1.2</v>
          </cell>
          <cell r="I15" t="str">
            <v>-</v>
          </cell>
          <cell r="Q15" t="str">
            <v>PERKIRAAN</v>
          </cell>
          <cell r="R15" t="str">
            <v>HARGA</v>
          </cell>
          <cell r="S15" t="str">
            <v>JUMLAH</v>
          </cell>
        </row>
        <row r="16">
          <cell r="A16">
            <v>7</v>
          </cell>
          <cell r="C16" t="str">
            <v>Jam kerja efektif per-hari</v>
          </cell>
          <cell r="G16" t="str">
            <v>Tk</v>
          </cell>
          <cell r="H16">
            <v>7</v>
          </cell>
          <cell r="I16" t="str">
            <v>jam</v>
          </cell>
          <cell r="J16" t="str">
            <v xml:space="preserve"> 100 bagian</v>
          </cell>
          <cell r="L16" t="str">
            <v>NO.</v>
          </cell>
          <cell r="N16" t="str">
            <v>KOMPONEN</v>
          </cell>
          <cell r="P16" t="str">
            <v>SATUAN</v>
          </cell>
          <cell r="Q16" t="str">
            <v>KUANTITAS</v>
          </cell>
          <cell r="R16" t="str">
            <v>SATUAN</v>
          </cell>
          <cell r="S16" t="str">
            <v>HARGA</v>
          </cell>
        </row>
        <row r="17">
          <cell r="A17">
            <v>8</v>
          </cell>
          <cell r="C17" t="str">
            <v>Proporsi Campuran :</v>
          </cell>
          <cell r="D17" t="str">
            <v>- Agregat Kasar</v>
          </cell>
          <cell r="G17" t="str">
            <v>Ak</v>
          </cell>
          <cell r="H17">
            <v>55</v>
          </cell>
          <cell r="I17" t="str">
            <v>%</v>
          </cell>
          <cell r="J17" t="str">
            <v xml:space="preserve"> Gradasi harus</v>
          </cell>
          <cell r="Q17" t="str">
            <v>PERKIRAAN</v>
          </cell>
          <cell r="R17" t="str">
            <v>HARGA</v>
          </cell>
          <cell r="S17" t="str">
            <v>JUMLAH</v>
          </cell>
        </row>
        <row r="18">
          <cell r="A18">
            <v>7</v>
          </cell>
          <cell r="C18" t="str">
            <v>Berat jenis bahan :</v>
          </cell>
          <cell r="D18" t="str">
            <v>- Agregat Halus</v>
          </cell>
          <cell r="G18" t="str">
            <v>Ah</v>
          </cell>
          <cell r="H18">
            <v>45</v>
          </cell>
          <cell r="I18" t="str">
            <v>%</v>
          </cell>
          <cell r="J18" t="str">
            <v xml:space="preserve"> memenuhi Spec.</v>
          </cell>
          <cell r="L18" t="str">
            <v>NO.</v>
          </cell>
          <cell r="N18" t="str">
            <v>KOMPONEN</v>
          </cell>
          <cell r="P18" t="str">
            <v>SATUAN</v>
          </cell>
          <cell r="Q18" t="str">
            <v>KUANTITAS</v>
          </cell>
          <cell r="R18" t="str">
            <v>SATUAN</v>
          </cell>
          <cell r="S18" t="str">
            <v>HARGA</v>
          </cell>
        </row>
        <row r="19">
          <cell r="A19" t="str">
            <v>II.</v>
          </cell>
          <cell r="C19" t="str">
            <v>URUTAN KERJA</v>
          </cell>
          <cell r="D19" t="str">
            <v>- Batu pecah 5/7</v>
          </cell>
          <cell r="G19" t="str">
            <v>D1</v>
          </cell>
          <cell r="H19">
            <v>1.05</v>
          </cell>
          <cell r="I19" t="str">
            <v>Kg / liter</v>
          </cell>
          <cell r="R19" t="str">
            <v>(Rp.)</v>
          </cell>
          <cell r="S19" t="str">
            <v>(Rp.)</v>
          </cell>
        </row>
        <row r="20">
          <cell r="A20">
            <v>1</v>
          </cell>
          <cell r="C20" t="str">
            <v xml:space="preserve">Wheel Loader mencampur &amp; memuat Agregat ke </v>
          </cell>
          <cell r="G20" t="str">
            <v>D2</v>
          </cell>
          <cell r="H20">
            <v>0.8</v>
          </cell>
          <cell r="I20" t="str">
            <v>Kg / liter</v>
          </cell>
          <cell r="L20" t="str">
            <v>A.</v>
          </cell>
          <cell r="N20" t="str">
            <v>TENAGA</v>
          </cell>
        </row>
        <row r="21">
          <cell r="A21">
            <v>8</v>
          </cell>
          <cell r="C21" t="str">
            <v>dalam Dump Truck di Base Camp</v>
          </cell>
        </row>
        <row r="22">
          <cell r="A22">
            <v>2</v>
          </cell>
          <cell r="C22" t="str">
            <v>Dump Truck mengangkut Agregat ke lokasi</v>
          </cell>
          <cell r="L22" t="str">
            <v>A.</v>
          </cell>
          <cell r="N22" t="str">
            <v>TENAGA</v>
          </cell>
          <cell r="O22" t="str">
            <v>(L01)</v>
          </cell>
          <cell r="P22" t="str">
            <v>Jam</v>
          </cell>
          <cell r="Q22">
            <v>3.0099999999999998E-2</v>
          </cell>
          <cell r="R22">
            <v>2500</v>
          </cell>
          <cell r="U22">
            <v>75.25</v>
          </cell>
        </row>
        <row r="23">
          <cell r="A23">
            <v>2</v>
          </cell>
          <cell r="C23" t="str">
            <v>pekerjaan dan dihampar secara manual</v>
          </cell>
          <cell r="L23" t="str">
            <v>2.</v>
          </cell>
          <cell r="N23" t="str">
            <v>Mandor</v>
          </cell>
          <cell r="O23" t="str">
            <v>(L03)</v>
          </cell>
          <cell r="P23" t="str">
            <v>Jam</v>
          </cell>
          <cell r="Q23">
            <v>3.0000000000000001E-3</v>
          </cell>
          <cell r="R23">
            <v>3571.43</v>
          </cell>
          <cell r="U23">
            <v>10.71</v>
          </cell>
        </row>
        <row r="24">
          <cell r="A24">
            <v>3</v>
          </cell>
          <cell r="C24" t="str">
            <v>Hamparan Agregat dibasahi dengan Water Tank</v>
          </cell>
          <cell r="L24" t="str">
            <v>1.</v>
          </cell>
          <cell r="N24" t="str">
            <v>Pekerja Biasa</v>
          </cell>
          <cell r="O24" t="str">
            <v>(L01)</v>
          </cell>
          <cell r="P24" t="str">
            <v>jam</v>
          </cell>
          <cell r="Q24">
            <v>0.44619999999999999</v>
          </cell>
          <cell r="R24">
            <v>2500</v>
          </cell>
          <cell r="U24">
            <v>1115.5</v>
          </cell>
        </row>
        <row r="25">
          <cell r="A25">
            <v>1</v>
          </cell>
          <cell r="C25" t="str">
            <v>Truck sebelum dipadatkan dengan Pedestrian Roller</v>
          </cell>
          <cell r="L25" t="str">
            <v>2.</v>
          </cell>
          <cell r="N25" t="str">
            <v>Mandor</v>
          </cell>
          <cell r="O25" t="str">
            <v>(L03)</v>
          </cell>
          <cell r="P25" t="str">
            <v>jam</v>
          </cell>
          <cell r="Q25">
            <v>1.78E-2</v>
          </cell>
          <cell r="R25">
            <v>3571.43</v>
          </cell>
          <cell r="U25">
            <v>63.57</v>
          </cell>
        </row>
        <row r="26">
          <cell r="A26">
            <v>4</v>
          </cell>
          <cell r="C26" t="str">
            <v>Sekelompok pekerja membuat galian lubang/patching,</v>
          </cell>
          <cell r="Q26" t="str">
            <v xml:space="preserve">JUMLAH HARGA TENAGA   </v>
          </cell>
          <cell r="U26">
            <v>85.960000000000008</v>
          </cell>
        </row>
        <row r="27">
          <cell r="A27">
            <v>2</v>
          </cell>
          <cell r="C27" t="str">
            <v>merapikan tepi hamparan dan level permukaan</v>
          </cell>
        </row>
        <row r="28">
          <cell r="C28" t="str">
            <v>dengan menggunakan Alat Bantu</v>
          </cell>
          <cell r="L28" t="str">
            <v>B.</v>
          </cell>
          <cell r="N28" t="str">
            <v>BAHAN</v>
          </cell>
          <cell r="Q28" t="str">
            <v xml:space="preserve">JUMLAH HARGA TENAGA   </v>
          </cell>
          <cell r="U28">
            <v>1179.07</v>
          </cell>
        </row>
        <row r="29">
          <cell r="A29">
            <v>3</v>
          </cell>
          <cell r="C29" t="str">
            <v>Campuran aspal cair disemprotkan dengan Asphalt</v>
          </cell>
        </row>
        <row r="30">
          <cell r="A30" t="str">
            <v>III.</v>
          </cell>
          <cell r="C30" t="str">
            <v>PEMAKAIAN BAHAN, ALAT DAN TENAGA</v>
          </cell>
          <cell r="L30" t="str">
            <v>B.</v>
          </cell>
          <cell r="N30" t="str">
            <v>BAHAN</v>
          </cell>
          <cell r="O30" t="str">
            <v>(M10)</v>
          </cell>
          <cell r="P30" t="str">
            <v>Kg</v>
          </cell>
          <cell r="Q30">
            <v>0.64680000000000004</v>
          </cell>
          <cell r="R30">
            <v>3500</v>
          </cell>
          <cell r="U30">
            <v>2263.8000000000002</v>
          </cell>
        </row>
        <row r="31">
          <cell r="A31">
            <v>4</v>
          </cell>
          <cell r="C31" t="str">
            <v>Angkutan Aspal &amp; Minyak Flux menggunakan Dump Truck</v>
          </cell>
          <cell r="D31" t="str">
            <v>=  Ak x 1 M3 x Fk</v>
          </cell>
          <cell r="G31" t="str">
            <v>M44</v>
          </cell>
          <cell r="H31">
            <v>0.5</v>
          </cell>
          <cell r="I31" t="str">
            <v>M3</v>
          </cell>
          <cell r="L31" t="str">
            <v>2.</v>
          </cell>
          <cell r="N31" t="str">
            <v>Kerosene</v>
          </cell>
          <cell r="O31" t="str">
            <v>(M11)</v>
          </cell>
          <cell r="P31" t="str">
            <v>liter</v>
          </cell>
          <cell r="Q31">
            <v>0.48399999999999999</v>
          </cell>
          <cell r="R31">
            <v>1500</v>
          </cell>
          <cell r="U31">
            <v>726</v>
          </cell>
        </row>
        <row r="32">
          <cell r="A32" t="str">
            <v xml:space="preserve">   1.</v>
          </cell>
          <cell r="C32" t="str">
            <v>BAHAN</v>
          </cell>
          <cell r="D32" t="str">
            <v>=  Ah x 1 M3 x Fk</v>
          </cell>
          <cell r="G32" t="str">
            <v>M06.a</v>
          </cell>
          <cell r="H32">
            <v>0.83330000000000004</v>
          </cell>
          <cell r="I32" t="str">
            <v>M3</v>
          </cell>
          <cell r="L32" t="str">
            <v>1.</v>
          </cell>
          <cell r="N32" t="str">
            <v>Agregat kasar</v>
          </cell>
          <cell r="O32" t="str">
            <v>(M03)</v>
          </cell>
          <cell r="P32" t="str">
            <v>M3</v>
          </cell>
          <cell r="Q32">
            <v>0.66</v>
          </cell>
          <cell r="R32">
            <v>0</v>
          </cell>
          <cell r="U32">
            <v>0</v>
          </cell>
        </row>
        <row r="33">
          <cell r="A33" t="str">
            <v>III.</v>
          </cell>
          <cell r="C33" t="str">
            <v>- Agregat Kasar</v>
          </cell>
          <cell r="D33" t="str">
            <v>=  Ak x 1 M3 x Fk</v>
          </cell>
          <cell r="G33" t="str">
            <v>M03</v>
          </cell>
          <cell r="H33">
            <v>0.66</v>
          </cell>
          <cell r="I33" t="str">
            <v>M3</v>
          </cell>
          <cell r="L33" t="str">
            <v>2.</v>
          </cell>
          <cell r="N33" t="str">
            <v>Agregat halus</v>
          </cell>
          <cell r="O33" t="str">
            <v>(M04)</v>
          </cell>
          <cell r="P33" t="str">
            <v>M3</v>
          </cell>
          <cell r="Q33">
            <v>0.54</v>
          </cell>
          <cell r="R33">
            <v>0</v>
          </cell>
          <cell r="U33">
            <v>0</v>
          </cell>
        </row>
        <row r="34">
          <cell r="A34" t="str">
            <v xml:space="preserve">   2.</v>
          </cell>
          <cell r="C34" t="str">
            <v>- Agregat Halus</v>
          </cell>
          <cell r="D34" t="str">
            <v>=  Ah x 1 M3 x Fk</v>
          </cell>
          <cell r="G34" t="str">
            <v>M04</v>
          </cell>
          <cell r="H34">
            <v>0.54</v>
          </cell>
          <cell r="I34" t="str">
            <v>M3</v>
          </cell>
        </row>
        <row r="35">
          <cell r="A35" t="str">
            <v xml:space="preserve">   1.</v>
          </cell>
          <cell r="C35" t="str">
            <v>BAHAN</v>
          </cell>
          <cell r="G35" t="str">
            <v>(E08)</v>
          </cell>
        </row>
        <row r="36">
          <cell r="A36" t="str">
            <v xml:space="preserve">   2.</v>
          </cell>
          <cell r="C36" t="str">
            <v>ALAT</v>
          </cell>
          <cell r="G36" t="str">
            <v>V</v>
          </cell>
          <cell r="H36">
            <v>4</v>
          </cell>
          <cell r="I36" t="str">
            <v>M3</v>
          </cell>
          <cell r="Q36" t="str">
            <v xml:space="preserve">JUMLAH HARGA BAHAN   </v>
          </cell>
          <cell r="U36">
            <v>2989.8</v>
          </cell>
        </row>
        <row r="37">
          <cell r="A37" t="str">
            <v xml:space="preserve">   2.a.</v>
          </cell>
          <cell r="C37" t="str">
            <v>WHEEL LOADER</v>
          </cell>
          <cell r="D37" t="str">
            <v>( 1 liter x Fh )</v>
          </cell>
          <cell r="G37" t="str">
            <v>(E15)</v>
          </cell>
          <cell r="H37">
            <v>1.1000000000000001</v>
          </cell>
          <cell r="I37" t="str">
            <v>liter</v>
          </cell>
          <cell r="J37" t="str">
            <v xml:space="preserve"> campuran</v>
          </cell>
        </row>
        <row r="38">
          <cell r="C38" t="str">
            <v>Kapasitas bucket</v>
          </cell>
          <cell r="G38" t="str">
            <v>V</v>
          </cell>
          <cell r="H38">
            <v>1.5</v>
          </cell>
          <cell r="I38" t="str">
            <v>M3</v>
          </cell>
          <cell r="L38" t="str">
            <v>C.</v>
          </cell>
          <cell r="N38" t="str">
            <v>PERALATAN</v>
          </cell>
          <cell r="Q38" t="str">
            <v xml:space="preserve">JUMLAH HARGA BAHAN   </v>
          </cell>
          <cell r="U38">
            <v>0</v>
          </cell>
        </row>
        <row r="39">
          <cell r="A39" t="str">
            <v xml:space="preserve">   1.a.</v>
          </cell>
          <cell r="C39" t="str">
            <v>Faktor bucket</v>
          </cell>
          <cell r="D39" t="str">
            <v>=   As x PC x D1</v>
          </cell>
          <cell r="G39" t="str">
            <v>Fb</v>
          </cell>
          <cell r="H39">
            <v>0.9</v>
          </cell>
          <cell r="I39" t="str">
            <v>-</v>
          </cell>
        </row>
        <row r="40">
          <cell r="A40" t="str">
            <v xml:space="preserve">   1.b.</v>
          </cell>
          <cell r="C40" t="str">
            <v>Faktor Efisiensi alat</v>
          </cell>
          <cell r="D40" t="str">
            <v>=   K x PC</v>
          </cell>
          <cell r="G40" t="str">
            <v>Fa</v>
          </cell>
          <cell r="H40">
            <v>0.83</v>
          </cell>
          <cell r="I40" t="str">
            <v>-</v>
          </cell>
          <cell r="L40" t="str">
            <v>C.</v>
          </cell>
          <cell r="N40" t="str">
            <v>PERALATAN</v>
          </cell>
          <cell r="O40" t="str">
            <v>(E03)</v>
          </cell>
          <cell r="P40" t="str">
            <v>Jam</v>
          </cell>
          <cell r="Q40">
            <v>3.0000000000000001E-3</v>
          </cell>
          <cell r="R40">
            <v>24722.73</v>
          </cell>
          <cell r="U40">
            <v>74.17</v>
          </cell>
        </row>
        <row r="41">
          <cell r="C41" t="str">
            <v>Waktu Siklus :</v>
          </cell>
          <cell r="G41" t="str">
            <v>Ts1</v>
          </cell>
          <cell r="H41">
            <v>1.5</v>
          </cell>
          <cell r="I41" t="str">
            <v>menit</v>
          </cell>
          <cell r="L41" t="str">
            <v>2.</v>
          </cell>
          <cell r="N41" t="str">
            <v>Compressor</v>
          </cell>
          <cell r="O41" t="str">
            <v>(E05)</v>
          </cell>
          <cell r="P41" t="str">
            <v>Jam</v>
          </cell>
          <cell r="Q41">
            <v>3.0999999999999999E-3</v>
          </cell>
          <cell r="R41">
            <v>47770.43</v>
          </cell>
          <cell r="U41">
            <v>148.09</v>
          </cell>
        </row>
        <row r="42">
          <cell r="A42" t="str">
            <v xml:space="preserve">   2.</v>
          </cell>
          <cell r="C42" t="str">
            <v>- Mencampur</v>
          </cell>
          <cell r="G42" t="str">
            <v>T1</v>
          </cell>
          <cell r="H42">
            <v>0.5</v>
          </cell>
          <cell r="I42" t="str">
            <v>menit</v>
          </cell>
          <cell r="L42" t="str">
            <v>1.</v>
          </cell>
          <cell r="N42" t="str">
            <v>Wheel Loader</v>
          </cell>
          <cell r="O42" t="str">
            <v>(E15)</v>
          </cell>
          <cell r="P42" t="str">
            <v>jam</v>
          </cell>
          <cell r="Q42">
            <v>1.78E-2</v>
          </cell>
          <cell r="R42">
            <v>143049.93</v>
          </cell>
          <cell r="U42">
            <v>2546.29</v>
          </cell>
        </row>
        <row r="43">
          <cell r="A43" t="str">
            <v xml:space="preserve">   2.a.</v>
          </cell>
          <cell r="C43" t="str">
            <v>- Memuat dan lain-lain</v>
          </cell>
          <cell r="G43" t="str">
            <v>T2</v>
          </cell>
          <cell r="H43">
            <v>0.5</v>
          </cell>
          <cell r="I43" t="str">
            <v>menit</v>
          </cell>
          <cell r="L43" t="str">
            <v>2.</v>
          </cell>
          <cell r="N43" t="str">
            <v>Dump Truck</v>
          </cell>
          <cell r="O43" t="str">
            <v>(E09)</v>
          </cell>
          <cell r="P43" t="str">
            <v>jam</v>
          </cell>
          <cell r="Q43">
            <v>9.0399999999999994E-2</v>
          </cell>
          <cell r="R43">
            <v>102654.43</v>
          </cell>
          <cell r="U43">
            <v>9279.9599999999991</v>
          </cell>
        </row>
        <row r="44">
          <cell r="C44" t="str">
            <v>Kapasitas alat</v>
          </cell>
          <cell r="G44" t="str">
            <v>Ts1</v>
          </cell>
          <cell r="H44">
            <v>1</v>
          </cell>
          <cell r="I44" t="str">
            <v>menit</v>
          </cell>
          <cell r="L44" t="str">
            <v>3.</v>
          </cell>
          <cell r="N44" t="str">
            <v>Pedestrian Roller</v>
          </cell>
          <cell r="O44" t="str">
            <v>(E24)</v>
          </cell>
          <cell r="P44" t="str">
            <v>jam</v>
          </cell>
          <cell r="Q44">
            <v>4.82E-2</v>
          </cell>
          <cell r="R44">
            <v>28134.059999999998</v>
          </cell>
          <cell r="U44">
            <v>1356.06</v>
          </cell>
        </row>
        <row r="45">
          <cell r="C45" t="str">
            <v>Faktor efisiensi alat</v>
          </cell>
          <cell r="G45" t="str">
            <v>Fa</v>
          </cell>
          <cell r="H45">
            <v>0.83</v>
          </cell>
          <cell r="I45" t="str">
            <v>-</v>
          </cell>
          <cell r="L45" t="str">
            <v>4.</v>
          </cell>
          <cell r="N45" t="str">
            <v>Water Tanker</v>
          </cell>
          <cell r="O45" t="str">
            <v>(E23)</v>
          </cell>
          <cell r="P45" t="str">
            <v>jam</v>
          </cell>
          <cell r="Q45">
            <v>2.1100000000000001E-2</v>
          </cell>
          <cell r="R45">
            <v>82267.929999999993</v>
          </cell>
          <cell r="U45">
            <v>1735.85</v>
          </cell>
        </row>
        <row r="46">
          <cell r="C46" t="str">
            <v>Kap. Prod. / jam =</v>
          </cell>
          <cell r="D46" t="str">
            <v>V x Fb x Fa x 60</v>
          </cell>
          <cell r="G46" t="str">
            <v>Q1</v>
          </cell>
          <cell r="H46">
            <v>56.024999999999999</v>
          </cell>
          <cell r="I46" t="str">
            <v>M3</v>
          </cell>
          <cell r="J46" t="str">
            <v>Berlanjut ke hal. berikut</v>
          </cell>
          <cell r="L46" t="str">
            <v>5.</v>
          </cell>
          <cell r="N46" t="str">
            <v>Alat Bantu</v>
          </cell>
          <cell r="P46" t="str">
            <v>Ls</v>
          </cell>
          <cell r="Q46">
            <v>1</v>
          </cell>
          <cell r="R46">
            <v>2000</v>
          </cell>
          <cell r="U46">
            <v>2000</v>
          </cell>
        </row>
        <row r="47">
          <cell r="C47" t="str">
            <v>Kap. Prod. / jam =</v>
          </cell>
          <cell r="D47" t="str">
            <v>Fk x Ts1</v>
          </cell>
          <cell r="G47" t="str">
            <v>Q1</v>
          </cell>
          <cell r="H47">
            <v>332</v>
          </cell>
          <cell r="I47" t="str">
            <v>liter</v>
          </cell>
        </row>
        <row r="48">
          <cell r="C48" t="str">
            <v>Koefisien Alat / M3</v>
          </cell>
          <cell r="D48" t="str">
            <v xml:space="preserve"> =  1  :  Q1</v>
          </cell>
          <cell r="G48" t="str">
            <v>(E15)</v>
          </cell>
          <cell r="H48">
            <v>1.78E-2</v>
          </cell>
          <cell r="I48" t="str">
            <v>jam</v>
          </cell>
          <cell r="Q48" t="str">
            <v xml:space="preserve">JUMLAH HARGA PERALATAN   </v>
          </cell>
          <cell r="U48">
            <v>469.06</v>
          </cell>
        </row>
        <row r="49">
          <cell r="C49" t="str">
            <v>Koefisien Alat / Ltr</v>
          </cell>
          <cell r="D49" t="str">
            <v xml:space="preserve"> =  1  :  Q1</v>
          </cell>
          <cell r="G49" t="str">
            <v>(E03)</v>
          </cell>
          <cell r="H49">
            <v>3.0000000000000001E-3</v>
          </cell>
          <cell r="I49" t="str">
            <v>Jam</v>
          </cell>
          <cell r="L49" t="str">
            <v>D.</v>
          </cell>
          <cell r="N49" t="str">
            <v>JUMLAH HARGA TENAGA, BAHAN DAN PERALATAN  ( A + B + C )</v>
          </cell>
          <cell r="U49">
            <v>3544.82</v>
          </cell>
        </row>
        <row r="50">
          <cell r="A50" t="str">
            <v xml:space="preserve">   2.b.</v>
          </cell>
          <cell r="C50" t="str">
            <v>DUMP TRUCK</v>
          </cell>
          <cell r="G50" t="str">
            <v>(E09)</v>
          </cell>
          <cell r="L50" t="str">
            <v>E.</v>
          </cell>
          <cell r="N50" t="str">
            <v>OVERHEAD &amp; PROFIT</v>
          </cell>
          <cell r="P50">
            <v>10</v>
          </cell>
          <cell r="Q50" t="str">
            <v>%  x  D</v>
          </cell>
          <cell r="U50">
            <v>354.48</v>
          </cell>
        </row>
        <row r="51">
          <cell r="A51" t="str">
            <v xml:space="preserve">   2.b.</v>
          </cell>
          <cell r="C51" t="str">
            <v>Kapasitas bak</v>
          </cell>
          <cell r="G51" t="str">
            <v>V</v>
          </cell>
          <cell r="H51">
            <v>6</v>
          </cell>
          <cell r="I51" t="str">
            <v>M3</v>
          </cell>
          <cell r="L51" t="str">
            <v>F.</v>
          </cell>
          <cell r="N51" t="str">
            <v>HARGA SATUAN PEKERJAAN  ( D + E )</v>
          </cell>
          <cell r="U51">
            <v>3899.3</v>
          </cell>
        </row>
        <row r="52">
          <cell r="C52" t="str">
            <v>Faktor Efisiensi alat</v>
          </cell>
          <cell r="G52" t="str">
            <v>Fa</v>
          </cell>
          <cell r="H52">
            <v>0.83</v>
          </cell>
          <cell r="I52" t="str">
            <v>-</v>
          </cell>
          <cell r="Q52" t="str">
            <v xml:space="preserve">JUMLAH HARGA PERALATAN   </v>
          </cell>
          <cell r="U52">
            <v>16918.16</v>
          </cell>
        </row>
        <row r="53">
          <cell r="C53" t="str">
            <v>Kecepatan rata-rata bermuatan</v>
          </cell>
          <cell r="G53" t="str">
            <v>v1</v>
          </cell>
          <cell r="H53">
            <v>40</v>
          </cell>
          <cell r="I53" t="str">
            <v>KM/jam</v>
          </cell>
          <cell r="L53" t="str">
            <v>D.</v>
          </cell>
          <cell r="N53" t="str">
            <v>JUMLAH HARGA TENAGA, BAHAN DAN PERALATAN  ( A + B + C )</v>
          </cell>
          <cell r="U53">
            <v>18097.23</v>
          </cell>
        </row>
        <row r="54">
          <cell r="C54" t="str">
            <v>Kecepatan rata-rata kosong</v>
          </cell>
          <cell r="D54" t="str">
            <v>( V x Ap )</v>
          </cell>
          <cell r="G54" t="str">
            <v>v2</v>
          </cell>
          <cell r="H54">
            <v>60</v>
          </cell>
          <cell r="I54" t="str">
            <v>KM/jam</v>
          </cell>
          <cell r="L54" t="str">
            <v>E.</v>
          </cell>
          <cell r="N54" t="str">
            <v>OVERHEAD &amp; PROFIT</v>
          </cell>
          <cell r="P54">
            <v>10</v>
          </cell>
          <cell r="Q54" t="str">
            <v>%  x  D</v>
          </cell>
          <cell r="U54">
            <v>1809.72</v>
          </cell>
        </row>
        <row r="55">
          <cell r="C55" t="str">
            <v>Waktu Siklus :</v>
          </cell>
          <cell r="D55" t="str">
            <v xml:space="preserve"> =  1  :  Q2</v>
          </cell>
          <cell r="G55" t="str">
            <v>Ts2</v>
          </cell>
          <cell r="H55">
            <v>3.0999999999999999E-3</v>
          </cell>
          <cell r="I55" t="str">
            <v>Jam</v>
          </cell>
          <cell r="L55" t="str">
            <v>F.</v>
          </cell>
          <cell r="N55" t="str">
            <v>HARGA SATUAN PEKERJAAN  ( D + E )</v>
          </cell>
          <cell r="U55">
            <v>19906.95</v>
          </cell>
        </row>
        <row r="56">
          <cell r="C56" t="str">
            <v>- Waktu tempuh isi  =  (L : v1) x 60 menit</v>
          </cell>
          <cell r="G56" t="str">
            <v>T1</v>
          </cell>
          <cell r="H56">
            <v>1.5</v>
          </cell>
          <cell r="I56" t="str">
            <v>menit</v>
          </cell>
          <cell r="L56">
            <v>4</v>
          </cell>
          <cell r="N56" t="str">
            <v>Biaya satuan sudah termasuk pengeluaran untuk seluruh pajak yang berkaitan (tetapi tidak termasuk PPN yang dibayar dari kontrak )</v>
          </cell>
        </row>
        <row r="57">
          <cell r="A57" t="str">
            <v>ITEM PEMBAYARAN NO.</v>
          </cell>
          <cell r="C57" t="str">
            <v>- Waktu tempuh kosong  =  (L : v2) x 60 menit</v>
          </cell>
          <cell r="D57" t="str">
            <v>:  5.1 (6)</v>
          </cell>
          <cell r="G57" t="str">
            <v>T2</v>
          </cell>
          <cell r="H57">
            <v>1</v>
          </cell>
          <cell r="I57" t="str">
            <v>menit</v>
          </cell>
          <cell r="J57" t="str">
            <v>Berlanjut ke hal. berikut.</v>
          </cell>
          <cell r="L57" t="str">
            <v>Note: 1</v>
          </cell>
          <cell r="N57" t="str">
            <v>SATUAN dapat berdasarkan atas jam operasi untuk Tenaga Kerja dan Peralatan, volume dan/atau ukuran berat untuk bahan</v>
          </cell>
        </row>
        <row r="58">
          <cell r="A58" t="str">
            <v>ITEM PEMBAYARAN NO.</v>
          </cell>
          <cell r="C58" t="str">
            <v>- Lain-lain (termasuk dumping setempat-setempat)</v>
          </cell>
          <cell r="D58" t="str">
            <v>:  6.1 (1)</v>
          </cell>
          <cell r="G58" t="str">
            <v>T3</v>
          </cell>
          <cell r="H58">
            <v>20</v>
          </cell>
          <cell r="I58" t="str">
            <v>menit</v>
          </cell>
          <cell r="J58" t="str">
            <v>Analisa EI-611</v>
          </cell>
          <cell r="L58">
            <v>2</v>
          </cell>
          <cell r="N58" t="str">
            <v>Kuantitas satuan adalah kuantitas setiap komponen untuk menyelesaikan satu satuan pekerjaan dari nomor mata pembayaran</v>
          </cell>
          <cell r="T58" t="str">
            <v>Analisa EI-612</v>
          </cell>
        </row>
        <row r="59">
          <cell r="A59" t="str">
            <v>JENIS PEKERJAAN</v>
          </cell>
          <cell r="D59" t="str">
            <v>:  Lapis Resap Pengikat</v>
          </cell>
          <cell r="G59" t="str">
            <v>Ts2</v>
          </cell>
          <cell r="H59">
            <v>22.5</v>
          </cell>
          <cell r="I59" t="str">
            <v>menit</v>
          </cell>
          <cell r="L59">
            <v>3</v>
          </cell>
          <cell r="N59" t="str">
            <v>Biaya satuan untuk peralatan sudah termasuk bahan bakar, bahan habis dipakai dan operator.</v>
          </cell>
        </row>
        <row r="60">
          <cell r="A60" t="str">
            <v>SATUAN PEMBAYARAN</v>
          </cell>
          <cell r="D60" t="str">
            <v>:  LITER</v>
          </cell>
          <cell r="H60" t="str">
            <v xml:space="preserve">         URAIAN ANALISA HARGA SATUAN</v>
          </cell>
          <cell r="J60" t="str">
            <v>Lanjutan</v>
          </cell>
          <cell r="L60">
            <v>4</v>
          </cell>
          <cell r="N60" t="str">
            <v>Biaya satuan sudah termasuk pengeluaran untuk seluruh pajak yang berkaitan (tetapi tidak termasuk PPN yang dibayar dari ontrak )</v>
          </cell>
        </row>
        <row r="61">
          <cell r="J61" t="str">
            <v>Berlanjut ke halaman berikut</v>
          </cell>
          <cell r="L61" t="str">
            <v>PEREKAMAN ANALISA MASING-MASING HARGA SATUAN</v>
          </cell>
          <cell r="N61" t="str">
            <v>dan biaya-biaya lainnya.</v>
          </cell>
        </row>
        <row r="62">
          <cell r="A62" t="str">
            <v>ITEM PEMBAYARAN NO.</v>
          </cell>
          <cell r="C62" t="str">
            <v>U R A I A N</v>
          </cell>
          <cell r="D62" t="str">
            <v>:  8.1(1)</v>
          </cell>
          <cell r="G62" t="str">
            <v>KODE</v>
          </cell>
          <cell r="H62" t="str">
            <v>KOEF.</v>
          </cell>
          <cell r="I62" t="str">
            <v>SATUAN</v>
          </cell>
          <cell r="J62" t="str">
            <v>Analisa EI-811</v>
          </cell>
          <cell r="T62" t="str">
            <v>Analisa EI-812</v>
          </cell>
        </row>
        <row r="63">
          <cell r="A63" t="str">
            <v>JENIS PEKERJAAN</v>
          </cell>
          <cell r="C63" t="str">
            <v>U R A I A N</v>
          </cell>
          <cell r="D63" t="str">
            <v>:  Pondasi Agregat Kls. A Untuk Pek Minor</v>
          </cell>
          <cell r="G63" t="str">
            <v>KODE</v>
          </cell>
          <cell r="H63" t="str">
            <v>KOEF.</v>
          </cell>
          <cell r="I63" t="str">
            <v>SATUAN</v>
          </cell>
          <cell r="J63" t="str">
            <v>KETERANGAN</v>
          </cell>
          <cell r="L63" t="str">
            <v>PROYEK</v>
          </cell>
          <cell r="O63" t="str">
            <v>:  Peningkatan Jalan dan Jembatan Wilayah Barat</v>
          </cell>
        </row>
        <row r="64">
          <cell r="A64" t="str">
            <v>SATUAN PEMBAYARAN</v>
          </cell>
          <cell r="D64" t="str">
            <v>:  M3</v>
          </cell>
          <cell r="H64" t="str">
            <v xml:space="preserve">         URAIAN ANALISA HARGA SATUAN</v>
          </cell>
          <cell r="L64" t="str">
            <v>FORMULIR STANDAR UNTUK</v>
          </cell>
          <cell r="O64" t="str">
            <v xml:space="preserve">: </v>
          </cell>
        </row>
        <row r="65">
          <cell r="C65" t="str">
            <v>Kap. Prod. / jam =</v>
          </cell>
          <cell r="D65" t="str">
            <v>V x Fa x 60</v>
          </cell>
          <cell r="G65" t="str">
            <v>Q1</v>
          </cell>
          <cell r="H65">
            <v>5.2651000000000003</v>
          </cell>
          <cell r="I65" t="str">
            <v>M3</v>
          </cell>
          <cell r="J65" t="str">
            <v>Lanjutan</v>
          </cell>
          <cell r="L65" t="str">
            <v>PEREKAMAN ANALISA MASING-MASING HARGA SATUAN</v>
          </cell>
          <cell r="O65" t="str">
            <v>:  Pembangunan Jembatan Beton Tersebar di Wilayah Barat</v>
          </cell>
        </row>
        <row r="66">
          <cell r="A66" t="str">
            <v xml:space="preserve">   2.c.</v>
          </cell>
          <cell r="C66" t="str">
            <v>DUMP TRUCK</v>
          </cell>
          <cell r="D66" t="str">
            <v>Fk x Ts2</v>
          </cell>
          <cell r="G66" t="str">
            <v>(E08)</v>
          </cell>
          <cell r="L66" t="str">
            <v>KABUPATEN</v>
          </cell>
          <cell r="O66" t="str">
            <v>:  Lampung Timur</v>
          </cell>
        </row>
        <row r="67">
          <cell r="A67" t="str">
            <v>No.</v>
          </cell>
          <cell r="C67" t="str">
            <v>U R A I A N</v>
          </cell>
          <cell r="D67" t="str">
            <v xml:space="preserve"> =  1  :  Q1</v>
          </cell>
          <cell r="G67" t="str">
            <v>KODE</v>
          </cell>
          <cell r="H67" t="str">
            <v>KOEF.</v>
          </cell>
          <cell r="I67" t="str">
            <v>SATUAN</v>
          </cell>
          <cell r="J67" t="str">
            <v>KETERANGAN</v>
          </cell>
          <cell r="L67" t="str">
            <v>ITEM PEMBAYARAN NO.</v>
          </cell>
          <cell r="O67" t="str">
            <v>:  6.1 (2)</v>
          </cell>
        </row>
        <row r="68">
          <cell r="C68" t="str">
            <v>Dump Truck melayani alat Asphalt Sprayer.</v>
          </cell>
          <cell r="L68" t="str">
            <v>JENIS PEKERJAAN</v>
          </cell>
          <cell r="O68" t="str">
            <v>:  Lapis Perekat</v>
          </cell>
        </row>
        <row r="69">
          <cell r="C69" t="str">
            <v>Kap. Prod. / jam =</v>
          </cell>
          <cell r="D69" t="str">
            <v>sama dengan Asphalt Sprayer</v>
          </cell>
          <cell r="G69" t="str">
            <v>Q3</v>
          </cell>
          <cell r="H69">
            <v>332</v>
          </cell>
          <cell r="I69" t="str">
            <v>liter</v>
          </cell>
          <cell r="L69" t="str">
            <v>PROYEK</v>
          </cell>
          <cell r="O69" t="str">
            <v>:  Peningkatan Jalan dan Jembatan Wilayah Barat</v>
          </cell>
        </row>
        <row r="70">
          <cell r="A70" t="str">
            <v xml:space="preserve">   2.b.</v>
          </cell>
          <cell r="C70" t="str">
            <v>Kap. Prod. / jam =</v>
          </cell>
          <cell r="D70" t="str">
            <v>V x Fa x 60</v>
          </cell>
          <cell r="G70" t="str">
            <v>Q2</v>
          </cell>
          <cell r="H70">
            <v>11.066700000000001</v>
          </cell>
          <cell r="I70" t="str">
            <v>M3</v>
          </cell>
          <cell r="L70" t="str">
            <v>No. PAKET KONTRAK</v>
          </cell>
          <cell r="O70" t="str">
            <v xml:space="preserve">: </v>
          </cell>
        </row>
        <row r="71">
          <cell r="C71" t="str">
            <v>Koefisien Alat / Ltr</v>
          </cell>
          <cell r="D71" t="str">
            <v>Fk x Ts2</v>
          </cell>
          <cell r="G71" t="str">
            <v>(E08)</v>
          </cell>
          <cell r="H71">
            <v>3.0000000000000001E-3</v>
          </cell>
          <cell r="I71" t="str">
            <v>Jam</v>
          </cell>
          <cell r="L71" t="str">
            <v>PEKERJAAN</v>
          </cell>
          <cell r="O71" t="str">
            <v>:  Pembangunan Jembatan Beton Tersebar di Wilayah Barat</v>
          </cell>
        </row>
        <row r="72">
          <cell r="C72" t="str">
            <v>Koefisien Alat / M3</v>
          </cell>
          <cell r="D72" t="str">
            <v xml:space="preserve"> =  1  :  Q2</v>
          </cell>
          <cell r="G72" t="str">
            <v>(E09)</v>
          </cell>
          <cell r="H72">
            <v>9.0399999999999994E-2</v>
          </cell>
          <cell r="I72" t="str">
            <v>jam</v>
          </cell>
          <cell r="L72" t="str">
            <v>KABUPATEN</v>
          </cell>
          <cell r="O72" t="str">
            <v>:  Lampung Timur</v>
          </cell>
          <cell r="Q72" t="str">
            <v>PERKIRAAN</v>
          </cell>
          <cell r="R72" t="str">
            <v>HARGA</v>
          </cell>
          <cell r="S72" t="str">
            <v>JUMLAH</v>
          </cell>
        </row>
        <row r="73">
          <cell r="A73" t="str">
            <v xml:space="preserve">   3.</v>
          </cell>
          <cell r="C73" t="str">
            <v>TENAGA</v>
          </cell>
          <cell r="G73" t="str">
            <v>n</v>
          </cell>
          <cell r="H73">
            <v>8</v>
          </cell>
          <cell r="I73" t="str">
            <v>lintasan</v>
          </cell>
          <cell r="L73" t="str">
            <v>MATA PEMBAYARAN NO.</v>
          </cell>
          <cell r="N73" t="str">
            <v>KOMPONEN</v>
          </cell>
          <cell r="O73" t="str">
            <v>:  8.1(2)</v>
          </cell>
          <cell r="P73" t="str">
            <v>SATUAN</v>
          </cell>
          <cell r="Q73" t="str">
            <v>KUANTITAS</v>
          </cell>
          <cell r="R73" t="str">
            <v>SATUAN</v>
          </cell>
          <cell r="S73" t="str">
            <v>HARGA</v>
          </cell>
        </row>
        <row r="74">
          <cell r="A74" t="str">
            <v xml:space="preserve">   2.c.</v>
          </cell>
          <cell r="C74" t="str">
            <v>PEDESTRIAN ROLLER</v>
          </cell>
          <cell r="G74" t="str">
            <v>(E24)</v>
          </cell>
          <cell r="H74">
            <v>332</v>
          </cell>
          <cell r="I74" t="str">
            <v>liter</v>
          </cell>
          <cell r="L74" t="str">
            <v>JENIS PEKERJAAN</v>
          </cell>
          <cell r="O74" t="str">
            <v>:  Pondasi Agregat Kls. B Untuk  Pek. Minor</v>
          </cell>
          <cell r="R74" t="str">
            <v>(Rp.)</v>
          </cell>
          <cell r="S74" t="str">
            <v>(Rp.)</v>
          </cell>
        </row>
        <row r="75">
          <cell r="C75" t="str">
            <v>Kecepatan rata-rata alat</v>
          </cell>
          <cell r="G75" t="str">
            <v>v</v>
          </cell>
          <cell r="H75">
            <v>2.5</v>
          </cell>
          <cell r="I75" t="str">
            <v>KM/jam</v>
          </cell>
          <cell r="L75" t="str">
            <v>SATUAN PEMBAYARAN</v>
          </cell>
          <cell r="O75" t="str">
            <v>:  M3</v>
          </cell>
        </row>
        <row r="76">
          <cell r="C76" t="str">
            <v>Lebar efektif pemadatan</v>
          </cell>
          <cell r="D76" t="str">
            <v>(v x 1000) x b x t x Fa</v>
          </cell>
          <cell r="G76" t="str">
            <v>b</v>
          </cell>
          <cell r="H76">
            <v>0.8</v>
          </cell>
          <cell r="I76" t="str">
            <v>M</v>
          </cell>
        </row>
        <row r="77">
          <cell r="C77" t="str">
            <v>Jumlah lintasan</v>
          </cell>
          <cell r="D77" t="str">
            <v>- Pekerja</v>
          </cell>
          <cell r="G77" t="str">
            <v>n</v>
          </cell>
          <cell r="H77">
            <v>12</v>
          </cell>
          <cell r="I77" t="str">
            <v>lintasan</v>
          </cell>
          <cell r="L77" t="str">
            <v>A.</v>
          </cell>
          <cell r="N77" t="str">
            <v>TENAGA</v>
          </cell>
        </row>
        <row r="78">
          <cell r="C78" t="str">
            <v>Faktor Efisiensi alat</v>
          </cell>
          <cell r="D78" t="str">
            <v>- Mandor</v>
          </cell>
          <cell r="G78" t="str">
            <v>Fa</v>
          </cell>
          <cell r="H78">
            <v>0.83</v>
          </cell>
          <cell r="I78" t="str">
            <v>-</v>
          </cell>
          <cell r="Q78" t="str">
            <v>PERKIRAAN</v>
          </cell>
          <cell r="R78" t="str">
            <v>HARGA</v>
          </cell>
          <cell r="S78" t="str">
            <v>JUMLAH</v>
          </cell>
        </row>
        <row r="79">
          <cell r="L79" t="str">
            <v>NO.</v>
          </cell>
          <cell r="N79" t="str">
            <v>KOMPONEN</v>
          </cell>
          <cell r="O79" t="str">
            <v>(L01)</v>
          </cell>
          <cell r="P79" t="str">
            <v>SATUAN</v>
          </cell>
          <cell r="Q79" t="str">
            <v>KUANTITAS</v>
          </cell>
          <cell r="R79" t="str">
            <v>SATUAN</v>
          </cell>
          <cell r="S79" t="str">
            <v>HARGA</v>
          </cell>
          <cell r="U79">
            <v>75.25</v>
          </cell>
        </row>
        <row r="80">
          <cell r="A80" t="str">
            <v xml:space="preserve">   2.c.</v>
          </cell>
          <cell r="C80" t="str">
            <v>Kap. Prod. / jam =</v>
          </cell>
          <cell r="D80" t="str">
            <v>(v x 1000) x b x t x Fa</v>
          </cell>
          <cell r="G80" t="str">
            <v>Q3</v>
          </cell>
          <cell r="H80">
            <v>20.75</v>
          </cell>
          <cell r="I80" t="str">
            <v>M3</v>
          </cell>
          <cell r="J80" t="str">
            <v xml:space="preserve"> Lump Sum</v>
          </cell>
          <cell r="L80" t="str">
            <v>2.</v>
          </cell>
          <cell r="N80" t="str">
            <v>Mandor</v>
          </cell>
          <cell r="O80" t="str">
            <v>(L03)</v>
          </cell>
          <cell r="P80" t="str">
            <v>Jam</v>
          </cell>
          <cell r="Q80">
            <v>3.0000000000000001E-3</v>
          </cell>
          <cell r="R80" t="str">
            <v>(Rp.)</v>
          </cell>
          <cell r="S80" t="str">
            <v>(Rp.)</v>
          </cell>
          <cell r="U80">
            <v>10.71</v>
          </cell>
        </row>
        <row r="81">
          <cell r="C81" t="str">
            <v>Diperlukan   :</v>
          </cell>
          <cell r="D81" t="str">
            <v>n</v>
          </cell>
          <cell r="E81" t="str">
            <v>= (Tk x P) : Qt</v>
          </cell>
          <cell r="G81" t="str">
            <v>(L01)</v>
          </cell>
          <cell r="H81">
            <v>3.0099999999999998E-2</v>
          </cell>
          <cell r="I81" t="str">
            <v>Jam</v>
          </cell>
        </row>
        <row r="82">
          <cell r="C82" t="str">
            <v>Koefisien Alat / M3</v>
          </cell>
          <cell r="D82" t="str">
            <v xml:space="preserve"> =  1  :  Q3</v>
          </cell>
          <cell r="E82" t="str">
            <v>= (Tk x M) : Qt</v>
          </cell>
          <cell r="G82" t="str">
            <v>(E24)</v>
          </cell>
          <cell r="H82">
            <v>4.82E-2</v>
          </cell>
          <cell r="I82" t="str">
            <v>jam</v>
          </cell>
        </row>
        <row r="83">
          <cell r="C83" t="str">
            <v>- Sekop</v>
          </cell>
          <cell r="D83" t="str">
            <v>=  3  buah.</v>
          </cell>
          <cell r="L83" t="str">
            <v>A.</v>
          </cell>
          <cell r="N83" t="str">
            <v>TENAGA</v>
          </cell>
          <cell r="Q83" t="str">
            <v xml:space="preserve">JUMLAH HARGA TENAGA   </v>
          </cell>
          <cell r="U83">
            <v>85.960000000000008</v>
          </cell>
        </row>
        <row r="84">
          <cell r="A84" t="str">
            <v xml:space="preserve">   2.d.</v>
          </cell>
          <cell r="C84" t="str">
            <v>WATER TANK TRUCK</v>
          </cell>
          <cell r="D84" t="str">
            <v>=  2  buah.</v>
          </cell>
          <cell r="G84" t="str">
            <v>(E23)</v>
          </cell>
        </row>
        <row r="85">
          <cell r="C85" t="str">
            <v>Volume tanki air</v>
          </cell>
          <cell r="G85" t="str">
            <v>V</v>
          </cell>
          <cell r="H85">
            <v>4</v>
          </cell>
          <cell r="I85" t="str">
            <v>M3</v>
          </cell>
          <cell r="L85" t="str">
            <v>1.</v>
          </cell>
          <cell r="N85" t="str">
            <v>Pekerja Biasa</v>
          </cell>
          <cell r="O85" t="str">
            <v>(L01)</v>
          </cell>
          <cell r="P85" t="str">
            <v>jam</v>
          </cell>
          <cell r="Q85">
            <v>0.44619999999999999</v>
          </cell>
          <cell r="R85">
            <v>2500</v>
          </cell>
          <cell r="U85">
            <v>1115.5</v>
          </cell>
        </row>
        <row r="86">
          <cell r="A86" t="str">
            <v xml:space="preserve">   3.</v>
          </cell>
          <cell r="C86" t="str">
            <v>Kebutuhan air / M3 agregat padat</v>
          </cell>
          <cell r="G86" t="str">
            <v>Wc</v>
          </cell>
          <cell r="H86">
            <v>7.0000000000000007E-2</v>
          </cell>
          <cell r="I86" t="str">
            <v>M3</v>
          </cell>
          <cell r="L86" t="str">
            <v>2.</v>
          </cell>
          <cell r="N86" t="str">
            <v>Mandor</v>
          </cell>
          <cell r="O86" t="str">
            <v>(L03)</v>
          </cell>
          <cell r="P86" t="str">
            <v>jam</v>
          </cell>
          <cell r="Q86">
            <v>1.78E-2</v>
          </cell>
          <cell r="R86">
            <v>3571.43</v>
          </cell>
          <cell r="U86">
            <v>63.57</v>
          </cell>
        </row>
        <row r="87">
          <cell r="A87" t="str">
            <v>5.</v>
          </cell>
          <cell r="C87" t="str">
            <v>Pengisian tanki / jam</v>
          </cell>
          <cell r="G87" t="str">
            <v>n</v>
          </cell>
          <cell r="H87">
            <v>1</v>
          </cell>
          <cell r="I87" t="str">
            <v>kali</v>
          </cell>
          <cell r="L87" t="str">
            <v>1.</v>
          </cell>
          <cell r="N87" t="str">
            <v>Aspal</v>
          </cell>
          <cell r="O87" t="str">
            <v>(M10)</v>
          </cell>
          <cell r="P87" t="str">
            <v>Kg</v>
          </cell>
          <cell r="Q87">
            <v>0.88800000000000001</v>
          </cell>
          <cell r="R87">
            <v>3500</v>
          </cell>
          <cell r="U87">
            <v>3108</v>
          </cell>
        </row>
        <row r="88">
          <cell r="C88" t="str">
            <v>Faktor Efisiensi alat</v>
          </cell>
          <cell r="G88" t="str">
            <v>Fa</v>
          </cell>
          <cell r="H88">
            <v>0.83</v>
          </cell>
          <cell r="I88" t="str">
            <v>-</v>
          </cell>
          <cell r="L88" t="str">
            <v>2.</v>
          </cell>
          <cell r="N88" t="str">
            <v>Kerosene</v>
          </cell>
          <cell r="O88" t="str">
            <v>(M11)</v>
          </cell>
          <cell r="P88" t="str">
            <v>liter</v>
          </cell>
          <cell r="Q88">
            <v>0.253</v>
          </cell>
          <cell r="R88">
            <v>1500</v>
          </cell>
          <cell r="U88">
            <v>379.5</v>
          </cell>
        </row>
        <row r="89">
          <cell r="C89" t="str">
            <v>PEREKEMAN ANALISA MASING-MASING HARGA</v>
          </cell>
          <cell r="Q89" t="str">
            <v xml:space="preserve">JUMLAH HARGA TENAGA   </v>
          </cell>
          <cell r="U89">
            <v>1179.07</v>
          </cell>
        </row>
        <row r="90">
          <cell r="C90" t="str">
            <v>Kap. Prod. / jam =</v>
          </cell>
          <cell r="D90" t="str">
            <v>V x n x Fa</v>
          </cell>
          <cell r="G90" t="str">
            <v>Q4</v>
          </cell>
          <cell r="H90">
            <v>47.428600000000003</v>
          </cell>
          <cell r="I90" t="str">
            <v>M3</v>
          </cell>
        </row>
        <row r="91">
          <cell r="C91" t="str">
            <v>Didapat Harga Satuan Pekerjaan :</v>
          </cell>
          <cell r="D91" t="str">
            <v>Wc</v>
          </cell>
          <cell r="G91" t="str">
            <v>M</v>
          </cell>
          <cell r="H91">
            <v>4</v>
          </cell>
          <cell r="I91" t="str">
            <v>orang</v>
          </cell>
          <cell r="L91" t="str">
            <v>B.</v>
          </cell>
          <cell r="N91" t="str">
            <v>BAHAN</v>
          </cell>
        </row>
        <row r="92">
          <cell r="C92" t="str">
            <v>Koefisien Alat / M3</v>
          </cell>
          <cell r="D92" t="str">
            <v xml:space="preserve"> =  1  :  Q4</v>
          </cell>
          <cell r="G92" t="str">
            <v>(E23)</v>
          </cell>
          <cell r="H92">
            <v>2.1100000000000001E-2</v>
          </cell>
          <cell r="I92" t="str">
            <v>jam</v>
          </cell>
        </row>
        <row r="93">
          <cell r="C93" t="str">
            <v xml:space="preserve">Rp.  </v>
          </cell>
          <cell r="D93">
            <v>3899.3</v>
          </cell>
          <cell r="E93" t="str">
            <v xml:space="preserve"> / liter.</v>
          </cell>
          <cell r="L93" t="str">
            <v>1.</v>
          </cell>
          <cell r="N93" t="str">
            <v xml:space="preserve">Agregat Kasar    </v>
          </cell>
          <cell r="O93" t="str">
            <v>(M03)</v>
          </cell>
          <cell r="P93" t="str">
            <v>M3</v>
          </cell>
          <cell r="Q93">
            <v>0.48</v>
          </cell>
          <cell r="R93">
            <v>0</v>
          </cell>
          <cell r="U93">
            <v>0</v>
          </cell>
        </row>
        <row r="94">
          <cell r="A94" t="str">
            <v xml:space="preserve">   2.e.</v>
          </cell>
          <cell r="C94" t="str">
            <v>ALAT BANTU</v>
          </cell>
          <cell r="D94" t="str">
            <v>- Pekerja</v>
          </cell>
          <cell r="E94" t="str">
            <v>= (Tk x P) : Qt</v>
          </cell>
          <cell r="G94" t="str">
            <v>(L01)</v>
          </cell>
          <cell r="H94">
            <v>4.0160999999999998</v>
          </cell>
          <cell r="I94" t="str">
            <v>jam</v>
          </cell>
          <cell r="J94" t="str">
            <v xml:space="preserve"> Lump Sum</v>
          </cell>
          <cell r="L94" t="str">
            <v>2.</v>
          </cell>
          <cell r="N94" t="str">
            <v xml:space="preserve">Agregat Halus  </v>
          </cell>
          <cell r="O94" t="str">
            <v>(M04)</v>
          </cell>
          <cell r="P94" t="str">
            <v>M3</v>
          </cell>
          <cell r="Q94">
            <v>0.36</v>
          </cell>
          <cell r="R94">
            <v>0</v>
          </cell>
          <cell r="U94">
            <v>0</v>
          </cell>
        </row>
        <row r="95">
          <cell r="C95" t="str">
            <v>Diperlukan   :</v>
          </cell>
          <cell r="D95" t="str">
            <v>- Mandor</v>
          </cell>
          <cell r="E95" t="str">
            <v>= (Tk x M) : Qt</v>
          </cell>
          <cell r="G95" t="str">
            <v>(L03)</v>
          </cell>
          <cell r="H95">
            <v>0.1071</v>
          </cell>
          <cell r="I95" t="str">
            <v>jam</v>
          </cell>
          <cell r="L95" t="str">
            <v>3.</v>
          </cell>
          <cell r="N95" t="str">
            <v>Sirtu</v>
          </cell>
          <cell r="O95" t="str">
            <v>(M16)</v>
          </cell>
          <cell r="P95" t="str">
            <v>M3</v>
          </cell>
          <cell r="Q95">
            <v>0.36</v>
          </cell>
          <cell r="R95">
            <v>2800</v>
          </cell>
          <cell r="U95">
            <v>1008</v>
          </cell>
        </row>
        <row r="96">
          <cell r="C96" t="str">
            <v>- Kereta dorong</v>
          </cell>
          <cell r="D96" t="str">
            <v>= 5 buah</v>
          </cell>
        </row>
        <row r="97">
          <cell r="A97" t="str">
            <v>4.</v>
          </cell>
          <cell r="C97" t="str">
            <v>- Sekop</v>
          </cell>
          <cell r="D97" t="str">
            <v>= 10 buah</v>
          </cell>
          <cell r="L97" t="str">
            <v>1.</v>
          </cell>
          <cell r="N97" t="str">
            <v>Asp. Sprayer</v>
          </cell>
          <cell r="O97" t="str">
            <v>(E03)</v>
          </cell>
          <cell r="P97" t="str">
            <v>Jam</v>
          </cell>
          <cell r="Q97">
            <v>3.0000000000000001E-3</v>
          </cell>
          <cell r="R97">
            <v>24722.73</v>
          </cell>
          <cell r="U97">
            <v>74.17</v>
          </cell>
        </row>
        <row r="98">
          <cell r="C98" t="str">
            <v>- Garpu</v>
          </cell>
          <cell r="D98" t="str">
            <v>= 10 buah</v>
          </cell>
          <cell r="L98" t="str">
            <v>2.</v>
          </cell>
          <cell r="N98" t="str">
            <v>Compressor</v>
          </cell>
          <cell r="O98" t="str">
            <v>(E05)</v>
          </cell>
          <cell r="P98" t="str">
            <v>Jam</v>
          </cell>
          <cell r="Q98">
            <v>6.3E-3</v>
          </cell>
          <cell r="R98">
            <v>47770.43</v>
          </cell>
          <cell r="U98">
            <v>300.95</v>
          </cell>
        </row>
        <row r="99">
          <cell r="L99" t="str">
            <v>3.</v>
          </cell>
          <cell r="N99" t="str">
            <v>Dump Truck</v>
          </cell>
          <cell r="O99" t="str">
            <v>(E08)</v>
          </cell>
          <cell r="P99" t="str">
            <v>Jam</v>
          </cell>
          <cell r="Q99" t="str">
            <v xml:space="preserve">JUMLAH HARGA BAHAN   </v>
          </cell>
          <cell r="R99">
            <v>82267.929999999993</v>
          </cell>
          <cell r="U99">
            <v>1008</v>
          </cell>
        </row>
        <row r="100">
          <cell r="A100" t="str">
            <v xml:space="preserve">   3.</v>
          </cell>
          <cell r="C100" t="str">
            <v>TENAGA</v>
          </cell>
        </row>
        <row r="101">
          <cell r="C101" t="str">
            <v>Produksi menentukan : WHEEL LOADER</v>
          </cell>
          <cell r="G101" t="str">
            <v>Q1</v>
          </cell>
          <cell r="H101">
            <v>56.024999999999999</v>
          </cell>
          <cell r="I101" t="str">
            <v>M3/jam</v>
          </cell>
          <cell r="L101" t="str">
            <v>C.</v>
          </cell>
          <cell r="N101" t="str">
            <v>PERALATAN</v>
          </cell>
        </row>
        <row r="102">
          <cell r="C102" t="str">
            <v>Produksi agregat / hari  =  Tk x Q1</v>
          </cell>
          <cell r="G102" t="str">
            <v>Qt</v>
          </cell>
          <cell r="H102">
            <v>392.17500000000001</v>
          </cell>
          <cell r="I102" t="str">
            <v>M3</v>
          </cell>
        </row>
        <row r="103">
          <cell r="C103" t="str">
            <v>Kebutuhan tenaga :</v>
          </cell>
          <cell r="L103" t="str">
            <v>1.</v>
          </cell>
          <cell r="N103" t="str">
            <v>Wheel Loader</v>
          </cell>
          <cell r="O103" t="str">
            <v>(E15)</v>
          </cell>
          <cell r="P103" t="str">
            <v>jam</v>
          </cell>
          <cell r="Q103">
            <v>1.78E-2</v>
          </cell>
          <cell r="R103">
            <v>143049.93</v>
          </cell>
          <cell r="U103">
            <v>2546.29</v>
          </cell>
        </row>
        <row r="104">
          <cell r="C104" t="str">
            <v>Didapat Harga Satuan Pekerjaan :</v>
          </cell>
          <cell r="D104" t="str">
            <v>- Pekerja</v>
          </cell>
          <cell r="G104" t="str">
            <v>P</v>
          </cell>
          <cell r="H104">
            <v>25</v>
          </cell>
          <cell r="I104" t="str">
            <v>orang</v>
          </cell>
          <cell r="L104" t="str">
            <v>2.</v>
          </cell>
          <cell r="N104" t="str">
            <v>Dump Truck</v>
          </cell>
          <cell r="O104" t="str">
            <v>(E09)</v>
          </cell>
          <cell r="P104" t="str">
            <v>jam</v>
          </cell>
          <cell r="Q104">
            <v>9.0399999999999994E-2</v>
          </cell>
          <cell r="R104">
            <v>102654.43</v>
          </cell>
          <cell r="U104">
            <v>9279.9599999999991</v>
          </cell>
        </row>
        <row r="105">
          <cell r="D105" t="str">
            <v>- Mandor</v>
          </cell>
          <cell r="G105" t="str">
            <v>M</v>
          </cell>
          <cell r="H105">
            <v>1</v>
          </cell>
          <cell r="I105" t="str">
            <v>orang</v>
          </cell>
          <cell r="L105" t="str">
            <v>3.</v>
          </cell>
          <cell r="N105" t="str">
            <v xml:space="preserve">Pedestrian Roller </v>
          </cell>
          <cell r="O105" t="str">
            <v>(E24)</v>
          </cell>
          <cell r="P105" t="str">
            <v>jam</v>
          </cell>
          <cell r="Q105">
            <v>3.61E-2</v>
          </cell>
          <cell r="R105">
            <v>28134.059999999998</v>
          </cell>
          <cell r="U105">
            <v>1015.64</v>
          </cell>
        </row>
        <row r="106">
          <cell r="L106" t="str">
            <v>4.</v>
          </cell>
          <cell r="N106" t="str">
            <v>Water Tanker</v>
          </cell>
          <cell r="O106" t="str">
            <v>(E23)</v>
          </cell>
          <cell r="P106" t="str">
            <v>jam</v>
          </cell>
          <cell r="Q106">
            <v>2.1100000000000001E-2</v>
          </cell>
          <cell r="R106">
            <v>82267.929999999993</v>
          </cell>
          <cell r="U106">
            <v>1735.85</v>
          </cell>
        </row>
        <row r="107">
          <cell r="C107" t="str">
            <v>Koefisien tenaga / M3   :</v>
          </cell>
          <cell r="D107">
            <v>154031.97</v>
          </cell>
          <cell r="E107" t="str">
            <v xml:space="preserve"> / M3</v>
          </cell>
          <cell r="L107" t="str">
            <v>5.</v>
          </cell>
          <cell r="N107" t="str">
            <v>Alat Bantu</v>
          </cell>
          <cell r="P107" t="str">
            <v>Ls</v>
          </cell>
          <cell r="Q107">
            <v>1</v>
          </cell>
          <cell r="R107">
            <v>2000</v>
          </cell>
          <cell r="U107">
            <v>2000</v>
          </cell>
        </row>
        <row r="108">
          <cell r="D108" t="str">
            <v>- Pekerja</v>
          </cell>
          <cell r="E108" t="str">
            <v>= (Tk x P) : Qt</v>
          </cell>
          <cell r="G108" t="str">
            <v>(L01)</v>
          </cell>
          <cell r="H108">
            <v>0.44619999999999999</v>
          </cell>
          <cell r="I108" t="str">
            <v>jam</v>
          </cell>
          <cell r="L108" t="str">
            <v>F.</v>
          </cell>
          <cell r="N108" t="str">
            <v>HARGA SATUAN PEKERJAAN  ( D + E )</v>
          </cell>
          <cell r="U108">
            <v>4614.92</v>
          </cell>
        </row>
        <row r="109">
          <cell r="D109" t="str">
            <v>- Mandor</v>
          </cell>
          <cell r="E109" t="str">
            <v>= (Tk x M) : Qt</v>
          </cell>
          <cell r="G109" t="str">
            <v>(L03)</v>
          </cell>
          <cell r="H109">
            <v>1.78E-2</v>
          </cell>
          <cell r="I109" t="str">
            <v>jam</v>
          </cell>
        </row>
        <row r="110">
          <cell r="L110" t="str">
            <v>Note: 1</v>
          </cell>
          <cell r="N110" t="str">
            <v>SATUAN dapat berdasarkan atas jam operasi untuk Tenaga Kerja dan Peralatan, volume dan/atau ukuran berat untuk bahan-bahan</v>
          </cell>
          <cell r="Q110" t="str">
            <v xml:space="preserve">JUMLAH HARGA PERALATAN   </v>
          </cell>
          <cell r="U110">
            <v>16577.739999999998</v>
          </cell>
        </row>
        <row r="111">
          <cell r="L111" t="str">
            <v>D.</v>
          </cell>
          <cell r="N111" t="str">
            <v>JUMLAH HARGA TENAGA, BAHAN DAN PERALATAN  ( A + B + C )</v>
          </cell>
          <cell r="U111">
            <v>18764.809999999998</v>
          </cell>
        </row>
        <row r="112">
          <cell r="L112" t="str">
            <v>E.</v>
          </cell>
          <cell r="N112" t="str">
            <v>OVERHEAD &amp; PROFIT</v>
          </cell>
          <cell r="P112">
            <v>10</v>
          </cell>
          <cell r="Q112" t="str">
            <v>%  x  D</v>
          </cell>
          <cell r="U112">
            <v>1876.48</v>
          </cell>
        </row>
        <row r="113">
          <cell r="L113" t="str">
            <v>F.</v>
          </cell>
          <cell r="N113" t="str">
            <v>HARGA SATUAN PEKERJAAN  ( D + E )</v>
          </cell>
          <cell r="U113">
            <v>20641.289999999997</v>
          </cell>
        </row>
        <row r="114">
          <cell r="N114" t="str">
            <v>dan biaya-biaya lainnya.</v>
          </cell>
        </row>
        <row r="115">
          <cell r="A115" t="str">
            <v>ITEM PEMBAYARAN NO.</v>
          </cell>
          <cell r="D115" t="str">
            <v>:  6.1 (2)</v>
          </cell>
          <cell r="J115" t="str">
            <v>Analisa EI-612</v>
          </cell>
          <cell r="L115" t="str">
            <v>Note: 1</v>
          </cell>
          <cell r="N115" t="str">
            <v>SATUAN dapat berdasarkan atas jam operasi untuk Tenaga Kerja dan Peralatan, volume dan/atau ukuran berat untuk bahan</v>
          </cell>
          <cell r="T115" t="str">
            <v>Analisa EI-634</v>
          </cell>
        </row>
        <row r="116">
          <cell r="A116" t="str">
            <v>JENIS PEKERJAAN</v>
          </cell>
          <cell r="D116" t="str">
            <v>:  Lapis Perekat</v>
          </cell>
          <cell r="J116" t="str">
            <v>Analisa El-85</v>
          </cell>
          <cell r="L116">
            <v>2</v>
          </cell>
          <cell r="N116" t="str">
            <v>Kuantitas satuan adalah kuantitas setiap komponen untuk menyelesaikan satu satuan pekerjaan dari nomor mata pembayaran</v>
          </cell>
        </row>
        <row r="117">
          <cell r="A117" t="str">
            <v>SATUAN PEMBAYARAN</v>
          </cell>
          <cell r="D117" t="str">
            <v>:  LITER</v>
          </cell>
          <cell r="H117" t="str">
            <v xml:space="preserve">         URAIAN ANALISA HARGA SATUAN</v>
          </cell>
          <cell r="L117">
            <v>3</v>
          </cell>
          <cell r="N117" t="str">
            <v>Biaya satuan untuk peralatan sudah termasuk bahan bakar, bahan habis dipakai dan operator.</v>
          </cell>
        </row>
        <row r="118">
          <cell r="A118" t="str">
            <v>SATUAN PEMBAYARAN</v>
          </cell>
          <cell r="D118" t="str">
            <v>:  M3</v>
          </cell>
          <cell r="H118" t="str">
            <v xml:space="preserve">         URAIAN ANALISA HARGA SATUAN</v>
          </cell>
          <cell r="L118">
            <v>4</v>
          </cell>
          <cell r="N118" t="str">
            <v>Biaya satuan sudah termasuk pengeluaran untuk seluruh pajak yang berkaitan (tetapi tidak termasuk PPN yang dibayar dari ontrak )</v>
          </cell>
        </row>
        <row r="119">
          <cell r="J119" t="str">
            <v>Berlanjut ke halaman berikut</v>
          </cell>
        </row>
        <row r="120">
          <cell r="A120" t="str">
            <v>ITEM PEMBAYARAN NO.</v>
          </cell>
          <cell r="C120" t="str">
            <v>U R A I A N</v>
          </cell>
          <cell r="D120" t="str">
            <v>:  8.1(1)</v>
          </cell>
          <cell r="G120" t="str">
            <v>KODE</v>
          </cell>
          <cell r="H120" t="str">
            <v>KOEF.</v>
          </cell>
          <cell r="I120" t="str">
            <v>SATUAN</v>
          </cell>
          <cell r="J120" t="str">
            <v>Analisa EI-811</v>
          </cell>
          <cell r="L120" t="str">
            <v>PROYEK</v>
          </cell>
          <cell r="O120" t="str">
            <v>:  Peningkatan Jalan dan Jembatan Wilayah Barat</v>
          </cell>
          <cell r="T120" t="str">
            <v>Analisa EI-817</v>
          </cell>
        </row>
        <row r="121">
          <cell r="A121" t="str">
            <v>JENIS PEKERJAAN</v>
          </cell>
          <cell r="C121" t="str">
            <v>U R A I A N</v>
          </cell>
          <cell r="D121" t="str">
            <v>:  Pondasi Agregat Kls. A Untuk Pek Minor</v>
          </cell>
          <cell r="G121" t="str">
            <v>KODE</v>
          </cell>
          <cell r="H121" t="str">
            <v>KOEF.</v>
          </cell>
          <cell r="I121" t="str">
            <v>SATUAN</v>
          </cell>
          <cell r="J121" t="str">
            <v>KETERANGAN</v>
          </cell>
          <cell r="L121" t="str">
            <v>No. PAKET KONTRAK</v>
          </cell>
          <cell r="O121" t="str">
            <v xml:space="preserve">: </v>
          </cell>
        </row>
        <row r="122">
          <cell r="A122" t="str">
            <v>SATUAN PEMBAYARAN</v>
          </cell>
          <cell r="D122" t="str">
            <v>:  M3</v>
          </cell>
          <cell r="H122" t="str">
            <v xml:space="preserve">         URAIAN ANALISA HARGA SATUAN</v>
          </cell>
          <cell r="L122" t="str">
            <v>FORMULIR STANDAR UNTUK</v>
          </cell>
          <cell r="O122" t="str">
            <v>:  Pembangunan Jembatan Beton Tersebar di Wilayah Barat</v>
          </cell>
        </row>
        <row r="123">
          <cell r="A123" t="str">
            <v>I.</v>
          </cell>
          <cell r="C123" t="str">
            <v>ASUMSI</v>
          </cell>
          <cell r="J123" t="str">
            <v>Lanjutan</v>
          </cell>
          <cell r="L123" t="str">
            <v>PEREKAMAN ANALISA MASING-MASING HARGA SATUAN</v>
          </cell>
          <cell r="O123" t="str">
            <v>:  Lampung Timur</v>
          </cell>
        </row>
        <row r="124">
          <cell r="A124">
            <v>1</v>
          </cell>
          <cell r="C124" t="str">
            <v>Menggunakan alat berat (cara mekanik)</v>
          </cell>
          <cell r="L124" t="str">
            <v>ITEM PEMBAYARAN NO.</v>
          </cell>
          <cell r="O124" t="str">
            <v>:  6.3 (4)</v>
          </cell>
        </row>
        <row r="125">
          <cell r="A125" t="str">
            <v>No.</v>
          </cell>
          <cell r="C125" t="str">
            <v>U R A I A N</v>
          </cell>
          <cell r="G125" t="str">
            <v>KODE</v>
          </cell>
          <cell r="H125" t="str">
            <v>KOEF.</v>
          </cell>
          <cell r="I125" t="str">
            <v>SATUAN</v>
          </cell>
          <cell r="J125" t="str">
            <v>KETERANGAN</v>
          </cell>
          <cell r="L125" t="str">
            <v>JENIS PEKERJAAN</v>
          </cell>
          <cell r="O125" t="str">
            <v>:  Asphalt Treated Base (ATB)</v>
          </cell>
        </row>
        <row r="126">
          <cell r="A126">
            <v>3</v>
          </cell>
          <cell r="C126" t="str">
            <v>Jarak rata-rata Base Camp ke lokasi pekerjaan</v>
          </cell>
          <cell r="G126" t="str">
            <v>L</v>
          </cell>
          <cell r="H126">
            <v>1</v>
          </cell>
          <cell r="I126" t="str">
            <v>KM</v>
          </cell>
          <cell r="L126" t="str">
            <v>PROYEK</v>
          </cell>
          <cell r="O126" t="str">
            <v>:  Peningkatan Jalan dan Jembatan Wilayah Barat</v>
          </cell>
        </row>
        <row r="127">
          <cell r="A127">
            <v>4</v>
          </cell>
          <cell r="C127" t="str">
            <v>Jam kerja efektif per-hari</v>
          </cell>
          <cell r="G127" t="str">
            <v>Tk</v>
          </cell>
          <cell r="H127">
            <v>7</v>
          </cell>
          <cell r="I127" t="str">
            <v>Jam</v>
          </cell>
          <cell r="L127" t="str">
            <v>No. PAKET KONTRAK</v>
          </cell>
          <cell r="O127" t="str">
            <v xml:space="preserve">: </v>
          </cell>
        </row>
        <row r="128">
          <cell r="A128" t="str">
            <v>4.</v>
          </cell>
          <cell r="C128" t="str">
            <v>HARGA DASAR SATUAN UPAH, BAHAN DAN ALAT</v>
          </cell>
          <cell r="G128" t="str">
            <v>Fh</v>
          </cell>
          <cell r="H128">
            <v>1.1000000000000001</v>
          </cell>
          <cell r="I128" t="str">
            <v>-</v>
          </cell>
          <cell r="L128" t="str">
            <v>PEKERJAAN</v>
          </cell>
          <cell r="O128" t="str">
            <v>:  Pembangunan Jembatan Beton Tersebar di Wilayah Barat</v>
          </cell>
        </row>
        <row r="129">
          <cell r="A129">
            <v>6</v>
          </cell>
          <cell r="C129" t="str">
            <v>Lihat lampiran.</v>
          </cell>
          <cell r="G129" t="str">
            <v>t</v>
          </cell>
          <cell r="H129">
            <v>0.15</v>
          </cell>
          <cell r="I129" t="str">
            <v>M</v>
          </cell>
          <cell r="L129" t="str">
            <v>KABUPATEN</v>
          </cell>
          <cell r="O129" t="str">
            <v>:  Lampung Timur</v>
          </cell>
          <cell r="Q129" t="str">
            <v>PERKIRAAN</v>
          </cell>
          <cell r="R129" t="str">
            <v>HARGA</v>
          </cell>
          <cell r="S129" t="str">
            <v>JUMLAH</v>
          </cell>
        </row>
        <row r="130">
          <cell r="A130">
            <v>6</v>
          </cell>
          <cell r="C130" t="str">
            <v>- Aspal AC-10 atau AC-20</v>
          </cell>
          <cell r="G130" t="str">
            <v>As</v>
          </cell>
          <cell r="H130">
            <v>77</v>
          </cell>
          <cell r="I130" t="str">
            <v>%</v>
          </cell>
          <cell r="J130" t="str">
            <v xml:space="preserve"> 100 bagian</v>
          </cell>
          <cell r="L130" t="str">
            <v>ITEM PEMBAYARAN NO.</v>
          </cell>
          <cell r="N130" t="str">
            <v>KOMPONEN</v>
          </cell>
          <cell r="O130" t="str">
            <v>:  8.1 (7)</v>
          </cell>
          <cell r="P130" t="str">
            <v>SATUAN</v>
          </cell>
          <cell r="Q130" t="str">
            <v>KUANTITAS</v>
          </cell>
          <cell r="R130" t="str">
            <v>SATUAN</v>
          </cell>
          <cell r="S130" t="str">
            <v>HARGA</v>
          </cell>
        </row>
        <row r="131">
          <cell r="A131" t="str">
            <v>5.</v>
          </cell>
          <cell r="C131" t="str">
            <v>ANALISA HARGA SATUAN PEKERJAAN</v>
          </cell>
          <cell r="G131" t="str">
            <v>K</v>
          </cell>
          <cell r="H131">
            <v>23</v>
          </cell>
          <cell r="I131" t="str">
            <v>%</v>
          </cell>
          <cell r="J131" t="str">
            <v xml:space="preserve"> 30 bagian</v>
          </cell>
          <cell r="L131" t="str">
            <v>JENIS PEKERJAAN</v>
          </cell>
          <cell r="O131" t="str">
            <v>:  Penetrasi Macadam Utk.Pek.Minor</v>
          </cell>
          <cell r="R131" t="str">
            <v>(Rp.)</v>
          </cell>
          <cell r="S131" t="str">
            <v>(Rp.)</v>
          </cell>
        </row>
        <row r="132">
          <cell r="A132">
            <v>7</v>
          </cell>
          <cell r="C132" t="str">
            <v>Lihat perhitungan dalam FORMULIR STANDAR UNTUK</v>
          </cell>
          <cell r="D132" t="str">
            <v>- Pasir urug</v>
          </cell>
          <cell r="G132" t="str">
            <v>Ak</v>
          </cell>
          <cell r="H132">
            <v>30</v>
          </cell>
          <cell r="I132" t="str">
            <v>%</v>
          </cell>
          <cell r="L132" t="str">
            <v>SATUAN PEMBAYARAN</v>
          </cell>
          <cell r="O132" t="str">
            <v>:  M3</v>
          </cell>
        </row>
        <row r="133">
          <cell r="C133" t="str">
            <v>PEREKAMAN ANALISA MASING-MASING HARGA</v>
          </cell>
          <cell r="D133" t="str">
            <v>- Batu pecah 10/15</v>
          </cell>
          <cell r="G133" t="str">
            <v>D1</v>
          </cell>
          <cell r="H133">
            <v>1.0484</v>
          </cell>
          <cell r="I133" t="str">
            <v>Kg / liter</v>
          </cell>
        </row>
        <row r="134">
          <cell r="C134" t="str">
            <v>SATUAN.</v>
          </cell>
          <cell r="D134" t="str">
            <v>- Batu pecah 5/7</v>
          </cell>
          <cell r="G134" t="str">
            <v>D2</v>
          </cell>
          <cell r="H134">
            <v>0.8</v>
          </cell>
          <cell r="I134" t="str">
            <v>Kg / liter</v>
          </cell>
          <cell r="L134" t="str">
            <v>A.</v>
          </cell>
          <cell r="N134" t="str">
            <v>TENAGA</v>
          </cell>
        </row>
        <row r="135">
          <cell r="A135">
            <v>8</v>
          </cell>
          <cell r="C135" t="str">
            <v>Didapat Harga Satuan Pekerjaan :</v>
          </cell>
          <cell r="Q135" t="str">
            <v>PERKIRAAN</v>
          </cell>
          <cell r="R135" t="str">
            <v>HARGA</v>
          </cell>
          <cell r="S135" t="str">
            <v>JUMLAH</v>
          </cell>
        </row>
        <row r="136">
          <cell r="A136">
            <v>1</v>
          </cell>
          <cell r="C136" t="str">
            <v>diterima di lokasi pekerjaan</v>
          </cell>
          <cell r="L136" t="str">
            <v>NO.</v>
          </cell>
          <cell r="N136" t="str">
            <v>KOMPONEN</v>
          </cell>
          <cell r="O136" t="str">
            <v>(L01)</v>
          </cell>
          <cell r="P136" t="str">
            <v>SATUAN</v>
          </cell>
          <cell r="Q136" t="str">
            <v>KUANTITAS</v>
          </cell>
          <cell r="R136" t="str">
            <v>SATUAN</v>
          </cell>
          <cell r="S136" t="str">
            <v>HARGA</v>
          </cell>
          <cell r="U136">
            <v>1616.5</v>
          </cell>
        </row>
        <row r="137">
          <cell r="C137" t="str">
            <v xml:space="preserve">Rp.  </v>
          </cell>
          <cell r="D137">
            <v>19906.95</v>
          </cell>
          <cell r="E137" t="str">
            <v xml:space="preserve"> / M3.</v>
          </cell>
          <cell r="L137" t="str">
            <v>2.</v>
          </cell>
          <cell r="N137" t="str">
            <v>Mandor</v>
          </cell>
          <cell r="O137" t="str">
            <v>(L03)</v>
          </cell>
          <cell r="P137" t="str">
            <v>Jam</v>
          </cell>
          <cell r="Q137">
            <v>9.2399999999999996E-2</v>
          </cell>
          <cell r="R137" t="str">
            <v>(Rp.)</v>
          </cell>
          <cell r="S137" t="str">
            <v>(Rp.)</v>
          </cell>
          <cell r="U137">
            <v>330</v>
          </cell>
        </row>
        <row r="138">
          <cell r="A138" t="str">
            <v>II.</v>
          </cell>
          <cell r="C138" t="str">
            <v>URUTAN KERJA</v>
          </cell>
        </row>
        <row r="139">
          <cell r="A139">
            <v>1</v>
          </cell>
          <cell r="C139" t="str">
            <v>Aspal dan Minyak Flux dicampur dan dipanaskan</v>
          </cell>
        </row>
        <row r="140">
          <cell r="A140">
            <v>3</v>
          </cell>
          <cell r="C140" t="str">
            <v>sehingga menjadi campuran aspal cair</v>
          </cell>
          <cell r="L140" t="str">
            <v>A.</v>
          </cell>
          <cell r="N140" t="str">
            <v>TENAGA</v>
          </cell>
          <cell r="Q140" t="str">
            <v xml:space="preserve">JUMLAH HARGA TENAGA   </v>
          </cell>
          <cell r="U140">
            <v>1946.5</v>
          </cell>
        </row>
        <row r="141">
          <cell r="A141">
            <v>2</v>
          </cell>
          <cell r="C141" t="str">
            <v>Permukaan yang akan dilapis dibersihkan dari debu</v>
          </cell>
        </row>
        <row r="142">
          <cell r="C142" t="str">
            <v>dan kotoran dengan Air Compressor</v>
          </cell>
          <cell r="L142" t="str">
            <v>1.</v>
          </cell>
          <cell r="N142" t="str">
            <v>Pekerja Biasa</v>
          </cell>
          <cell r="O142" t="str">
            <v>(L01)</v>
          </cell>
          <cell r="P142" t="str">
            <v>Jam</v>
          </cell>
          <cell r="Q142">
            <v>7.2289000000000003</v>
          </cell>
          <cell r="R142">
            <v>2500</v>
          </cell>
          <cell r="U142">
            <v>18072.25</v>
          </cell>
        </row>
        <row r="143">
          <cell r="A143">
            <v>3</v>
          </cell>
          <cell r="C143" t="str">
            <v>Campuran aspal cair disemprotkan dengan Asphalt</v>
          </cell>
          <cell r="L143" t="str">
            <v>2.</v>
          </cell>
          <cell r="N143" t="str">
            <v>Mandor</v>
          </cell>
          <cell r="O143" t="str">
            <v>(L03)</v>
          </cell>
          <cell r="P143" t="str">
            <v>Jam</v>
          </cell>
          <cell r="Q143">
            <v>0.16059999999999999</v>
          </cell>
          <cell r="R143">
            <v>3571.43</v>
          </cell>
          <cell r="U143">
            <v>573.57000000000005</v>
          </cell>
        </row>
        <row r="144">
          <cell r="A144" t="str">
            <v>III.</v>
          </cell>
          <cell r="C144" t="str">
            <v>Sprayer ke atas permukaan yang akan dilapis.</v>
          </cell>
          <cell r="L144" t="str">
            <v>1.</v>
          </cell>
          <cell r="N144" t="str">
            <v>Agregat Kasar</v>
          </cell>
          <cell r="O144" t="str">
            <v>(M03a)</v>
          </cell>
          <cell r="P144" t="str">
            <v>M3</v>
          </cell>
          <cell r="Q144">
            <v>0.77310000000000001</v>
          </cell>
          <cell r="R144">
            <v>120100</v>
          </cell>
          <cell r="U144">
            <v>92849.31</v>
          </cell>
        </row>
        <row r="145">
          <cell r="A145">
            <v>4</v>
          </cell>
          <cell r="C145" t="str">
            <v>Angkutan Aspal &amp; Minyak Flux menggunakan Dump Truck</v>
          </cell>
          <cell r="L145" t="str">
            <v>2.</v>
          </cell>
          <cell r="N145" t="str">
            <v>Agregat Halus</v>
          </cell>
          <cell r="O145" t="str">
            <v>(M04a)</v>
          </cell>
          <cell r="P145" t="str">
            <v>M3</v>
          </cell>
          <cell r="Q145">
            <v>0.47089999999999999</v>
          </cell>
          <cell r="R145">
            <v>115100</v>
          </cell>
          <cell r="U145">
            <v>54200.59</v>
          </cell>
        </row>
        <row r="146">
          <cell r="C146" t="str">
            <v>- Pasir urug</v>
          </cell>
          <cell r="D146" t="str">
            <v>=  Ak x 1 M3 x Fk</v>
          </cell>
          <cell r="G146" t="str">
            <v>M44</v>
          </cell>
          <cell r="H146">
            <v>0.5</v>
          </cell>
          <cell r="I146" t="str">
            <v>M3</v>
          </cell>
          <cell r="L146" t="str">
            <v>3</v>
          </cell>
          <cell r="N146" t="str">
            <v>Filler</v>
          </cell>
          <cell r="O146" t="str">
            <v>(M05)</v>
          </cell>
          <cell r="P146" t="str">
            <v>Kg</v>
          </cell>
          <cell r="Q146" t="str">
            <v xml:space="preserve">JUMLAH HARGA TENAGA   </v>
          </cell>
          <cell r="R146">
            <v>100</v>
          </cell>
          <cell r="U146">
            <v>18645.82</v>
          </cell>
        </row>
        <row r="147">
          <cell r="A147" t="str">
            <v>III.</v>
          </cell>
          <cell r="C147" t="str">
            <v>PEMAKAIAN BAHAN, ALAT DAN TENAGA</v>
          </cell>
          <cell r="D147" t="str">
            <v>=  Ah x 1 M3 x Fk</v>
          </cell>
          <cell r="G147" t="str">
            <v>M06.a</v>
          </cell>
          <cell r="H147">
            <v>0.83330000000000004</v>
          </cell>
          <cell r="I147" t="str">
            <v>M3</v>
          </cell>
          <cell r="L147" t="str">
            <v>4</v>
          </cell>
          <cell r="N147" t="str">
            <v>Aspal</v>
          </cell>
          <cell r="O147" t="str">
            <v>(M10)</v>
          </cell>
          <cell r="P147" t="str">
            <v>Kg</v>
          </cell>
          <cell r="Q147">
            <v>156.97499999999999</v>
          </cell>
          <cell r="R147">
            <v>3500</v>
          </cell>
          <cell r="U147">
            <v>549412.5</v>
          </cell>
        </row>
        <row r="148">
          <cell r="C148" t="str">
            <v>- Batu 5/7</v>
          </cell>
          <cell r="D148" t="str">
            <v>=  St x 1 M3 x Fk</v>
          </cell>
          <cell r="G148" t="str">
            <v>M06.b</v>
          </cell>
          <cell r="H148">
            <v>0.33339999999999997</v>
          </cell>
          <cell r="I148" t="str">
            <v>M3</v>
          </cell>
          <cell r="L148" t="str">
            <v>B.</v>
          </cell>
          <cell r="N148" t="str">
            <v>BAHAN</v>
          </cell>
        </row>
        <row r="149">
          <cell r="A149" t="str">
            <v xml:space="preserve">   1.</v>
          </cell>
          <cell r="C149" t="str">
            <v>BAHAN</v>
          </cell>
        </row>
        <row r="150">
          <cell r="A150" t="str">
            <v xml:space="preserve">   2.a.</v>
          </cell>
          <cell r="C150" t="str">
            <v>Untuk mendapatkan 1 liter Lapis Resap Pengikat</v>
          </cell>
          <cell r="G150" t="str">
            <v>(E08)</v>
          </cell>
          <cell r="L150" t="str">
            <v>1.</v>
          </cell>
          <cell r="N150" t="str">
            <v>Agregat Kasar</v>
          </cell>
          <cell r="O150" t="str">
            <v>(M03a)</v>
          </cell>
          <cell r="P150" t="str">
            <v>M3</v>
          </cell>
          <cell r="Q150">
            <v>1.2833000000000001</v>
          </cell>
          <cell r="R150">
            <v>120100</v>
          </cell>
          <cell r="U150">
            <v>154124.32999999999</v>
          </cell>
        </row>
        <row r="151">
          <cell r="C151" t="str">
            <v>diperlukan :</v>
          </cell>
          <cell r="D151" t="str">
            <v>( 1 liter x Fh )</v>
          </cell>
          <cell r="G151" t="str">
            <v>PC</v>
          </cell>
          <cell r="H151">
            <v>1.1000000000000001</v>
          </cell>
          <cell r="I151" t="str">
            <v>liter</v>
          </cell>
          <cell r="J151" t="str">
            <v xml:space="preserve"> campuran</v>
          </cell>
          <cell r="L151" t="str">
            <v>2.</v>
          </cell>
          <cell r="N151" t="str">
            <v>Agregat Halus</v>
          </cell>
          <cell r="O151" t="str">
            <v>(M04a)</v>
          </cell>
          <cell r="P151" t="str">
            <v>M3</v>
          </cell>
          <cell r="Q151">
            <v>0.30559999999999998</v>
          </cell>
          <cell r="R151">
            <v>115100</v>
          </cell>
          <cell r="U151">
            <v>35174.559999999998</v>
          </cell>
        </row>
        <row r="152">
          <cell r="C152" t="str">
            <v>Faktor Efisiensi alat</v>
          </cell>
          <cell r="G152" t="str">
            <v>Fa</v>
          </cell>
          <cell r="H152">
            <v>0.83</v>
          </cell>
          <cell r="I152" t="str">
            <v>-</v>
          </cell>
          <cell r="L152" t="str">
            <v>3</v>
          </cell>
          <cell r="N152" t="str">
            <v>Aspal</v>
          </cell>
          <cell r="O152" t="str">
            <v>(M10)</v>
          </cell>
          <cell r="P152" t="str">
            <v>Kg</v>
          </cell>
          <cell r="Q152">
            <v>109.2</v>
          </cell>
          <cell r="R152">
            <v>3500</v>
          </cell>
          <cell r="U152">
            <v>382200</v>
          </cell>
        </row>
        <row r="153">
          <cell r="A153" t="str">
            <v xml:space="preserve">   1.a.</v>
          </cell>
          <cell r="C153" t="str">
            <v>Aspal</v>
          </cell>
          <cell r="D153" t="str">
            <v>=   As x PC x D1</v>
          </cell>
          <cell r="G153" t="str">
            <v>(M10)</v>
          </cell>
          <cell r="H153">
            <v>0.88800000000000001</v>
          </cell>
          <cell r="I153" t="str">
            <v>Kg</v>
          </cell>
          <cell r="L153">
            <v>4</v>
          </cell>
          <cell r="N153" t="str">
            <v>Agregat Penutup (pasir)</v>
          </cell>
          <cell r="O153" t="str">
            <v>(M01)</v>
          </cell>
          <cell r="P153" t="str">
            <v>M3</v>
          </cell>
          <cell r="Q153">
            <v>0.18440000000000001</v>
          </cell>
          <cell r="R153">
            <v>48500</v>
          </cell>
          <cell r="U153">
            <v>8943.4</v>
          </cell>
        </row>
        <row r="154">
          <cell r="A154" t="str">
            <v xml:space="preserve">   1.b.</v>
          </cell>
          <cell r="C154" t="str">
            <v>Kerosene</v>
          </cell>
          <cell r="D154" t="str">
            <v>=   K x PC</v>
          </cell>
          <cell r="G154" t="str">
            <v>(M11)</v>
          </cell>
          <cell r="H154">
            <v>0.253</v>
          </cell>
          <cell r="I154" t="str">
            <v>liter</v>
          </cell>
          <cell r="L154" t="str">
            <v>2.</v>
          </cell>
          <cell r="N154" t="str">
            <v>AMP</v>
          </cell>
          <cell r="O154" t="str">
            <v>(E01)</v>
          </cell>
          <cell r="P154" t="str">
            <v>Jam</v>
          </cell>
          <cell r="Q154">
            <v>9.2399999999999996E-2</v>
          </cell>
          <cell r="R154">
            <v>839246.43</v>
          </cell>
          <cell r="U154">
            <v>77546.37</v>
          </cell>
        </row>
        <row r="155">
          <cell r="C155" t="str">
            <v>Waktu Siklus :</v>
          </cell>
          <cell r="G155" t="str">
            <v>Ts2</v>
          </cell>
          <cell r="L155" t="str">
            <v>3.</v>
          </cell>
          <cell r="N155" t="str">
            <v>Genset</v>
          </cell>
          <cell r="O155" t="str">
            <v>(E12)</v>
          </cell>
          <cell r="P155" t="str">
            <v>Jam</v>
          </cell>
          <cell r="Q155">
            <v>9.2399999999999996E-2</v>
          </cell>
          <cell r="R155">
            <v>82443.12999999999</v>
          </cell>
          <cell r="U155">
            <v>7617.75</v>
          </cell>
        </row>
        <row r="156">
          <cell r="A156" t="str">
            <v xml:space="preserve">   2.</v>
          </cell>
          <cell r="C156" t="str">
            <v>ALAT</v>
          </cell>
          <cell r="G156" t="str">
            <v>T1</v>
          </cell>
          <cell r="H156">
            <v>1.5</v>
          </cell>
          <cell r="I156" t="str">
            <v>menit</v>
          </cell>
          <cell r="L156" t="str">
            <v>4.</v>
          </cell>
          <cell r="N156" t="str">
            <v>Dump Truck</v>
          </cell>
          <cell r="O156" t="str">
            <v>(E09)</v>
          </cell>
          <cell r="P156" t="str">
            <v>Jam</v>
          </cell>
          <cell r="Q156" t="str">
            <v xml:space="preserve">JUMLAH HARGA BAHAN   </v>
          </cell>
          <cell r="R156">
            <v>102654.43</v>
          </cell>
          <cell r="U156">
            <v>580442.29</v>
          </cell>
        </row>
        <row r="157">
          <cell r="A157" t="str">
            <v xml:space="preserve">   2.a.</v>
          </cell>
          <cell r="C157" t="str">
            <v>ASPHALT SPRAYER</v>
          </cell>
          <cell r="G157" t="str">
            <v>(E03)</v>
          </cell>
          <cell r="H157">
            <v>1.2</v>
          </cell>
          <cell r="I157" t="str">
            <v>menit</v>
          </cell>
          <cell r="L157" t="str">
            <v>5.</v>
          </cell>
          <cell r="N157" t="str">
            <v xml:space="preserve">Asphalt Finisher     </v>
          </cell>
          <cell r="O157" t="str">
            <v>(E02)</v>
          </cell>
          <cell r="P157" t="str">
            <v>Jam</v>
          </cell>
          <cell r="Q157">
            <v>7.6700000000000004E-2</v>
          </cell>
          <cell r="R157">
            <v>173395.18</v>
          </cell>
          <cell r="U157">
            <v>13299.41</v>
          </cell>
        </row>
        <row r="158">
          <cell r="C158" t="str">
            <v>Kapasitas alat</v>
          </cell>
          <cell r="G158" t="str">
            <v>V</v>
          </cell>
          <cell r="H158">
            <v>800</v>
          </cell>
          <cell r="I158" t="str">
            <v>liter</v>
          </cell>
          <cell r="L158" t="str">
            <v>C.</v>
          </cell>
          <cell r="N158" t="str">
            <v>PERALATAN</v>
          </cell>
          <cell r="O158" t="str">
            <v>(E17)</v>
          </cell>
          <cell r="P158" t="str">
            <v>Jam</v>
          </cell>
          <cell r="Q158">
            <v>4.5900000000000003E-2</v>
          </cell>
          <cell r="R158">
            <v>68242.429999999993</v>
          </cell>
          <cell r="U158">
            <v>3132.33</v>
          </cell>
        </row>
        <row r="159">
          <cell r="C159" t="str">
            <v>Faktor efisiensi alat</v>
          </cell>
          <cell r="G159" t="str">
            <v>Fa</v>
          </cell>
          <cell r="H159">
            <v>0.83</v>
          </cell>
          <cell r="I159" t="str">
            <v>-</v>
          </cell>
          <cell r="L159" t="str">
            <v>7</v>
          </cell>
          <cell r="N159" t="str">
            <v>P. Tyre Roller</v>
          </cell>
          <cell r="O159" t="str">
            <v>(E18)</v>
          </cell>
          <cell r="P159" t="str">
            <v>Jam</v>
          </cell>
          <cell r="Q159">
            <v>2.5700000000000001E-2</v>
          </cell>
          <cell r="R159">
            <v>82816.429999999993</v>
          </cell>
          <cell r="U159">
            <v>2128.38</v>
          </cell>
        </row>
        <row r="160">
          <cell r="C160" t="str">
            <v>Waktu Siklus (termasuk proses pemanasan)</v>
          </cell>
          <cell r="G160" t="str">
            <v>Ts</v>
          </cell>
          <cell r="H160">
            <v>2</v>
          </cell>
          <cell r="I160" t="str">
            <v>Jam</v>
          </cell>
          <cell r="L160" t="str">
            <v>1.</v>
          </cell>
          <cell r="N160" t="str">
            <v>Wheel Loader</v>
          </cell>
          <cell r="O160" t="str">
            <v>(E15)</v>
          </cell>
          <cell r="P160" t="str">
            <v>Jam</v>
          </cell>
          <cell r="Q160">
            <v>0</v>
          </cell>
          <cell r="R160">
            <v>143049.93</v>
          </cell>
          <cell r="U160">
            <v>0</v>
          </cell>
        </row>
        <row r="161">
          <cell r="C161" t="str">
            <v>Kap. Prod. / jam =</v>
          </cell>
          <cell r="D161" t="str">
            <v>V x Fa</v>
          </cell>
          <cell r="G161" t="str">
            <v>Q1</v>
          </cell>
          <cell r="H161">
            <v>332</v>
          </cell>
          <cell r="I161" t="str">
            <v>liter</v>
          </cell>
          <cell r="J161" t="str">
            <v>Berlanjut ke hal. berikut</v>
          </cell>
          <cell r="L161" t="str">
            <v>2.</v>
          </cell>
          <cell r="N161" t="str">
            <v>Dump Truck</v>
          </cell>
          <cell r="O161" t="str">
            <v>(E09)</v>
          </cell>
          <cell r="P161" t="str">
            <v>Jam</v>
          </cell>
          <cell r="Q161">
            <v>5.9200000000000003E-2</v>
          </cell>
          <cell r="R161">
            <v>102654.43</v>
          </cell>
          <cell r="U161">
            <v>6077.14</v>
          </cell>
        </row>
        <row r="162">
          <cell r="D162" t="str">
            <v>Ts</v>
          </cell>
          <cell r="L162" t="str">
            <v>3.</v>
          </cell>
          <cell r="N162" t="str">
            <v>3-Wheel Roller</v>
          </cell>
          <cell r="O162" t="str">
            <v>[E16]</v>
          </cell>
          <cell r="P162" t="str">
            <v>Jam</v>
          </cell>
          <cell r="Q162">
            <v>8.0299999999999996E-2</v>
          </cell>
          <cell r="R162">
            <v>70179.929999999993</v>
          </cell>
          <cell r="U162">
            <v>5635.45</v>
          </cell>
        </row>
        <row r="163">
          <cell r="C163" t="str">
            <v>Koefisien Alat / Ltr</v>
          </cell>
          <cell r="D163" t="str">
            <v xml:space="preserve"> =  1  :  Q1</v>
          </cell>
          <cell r="G163" t="str">
            <v>(E03)</v>
          </cell>
          <cell r="H163">
            <v>3.0000000000000001E-3</v>
          </cell>
          <cell r="I163" t="str">
            <v>Jam</v>
          </cell>
          <cell r="L163" t="str">
            <v>4.</v>
          </cell>
          <cell r="N163" t="str">
            <v>Asp. Sprayer</v>
          </cell>
          <cell r="O163" t="str">
            <v>(E03)</v>
          </cell>
          <cell r="P163" t="str">
            <v>Jam</v>
          </cell>
          <cell r="Q163">
            <v>0.31019999999999998</v>
          </cell>
          <cell r="R163">
            <v>24722.73</v>
          </cell>
          <cell r="U163">
            <v>7668.99</v>
          </cell>
        </row>
        <row r="164">
          <cell r="L164" t="str">
            <v>5.</v>
          </cell>
          <cell r="N164" t="str">
            <v>Alat bantu</v>
          </cell>
          <cell r="P164" t="str">
            <v>Ls</v>
          </cell>
          <cell r="Q164">
            <v>1</v>
          </cell>
          <cell r="R164">
            <v>500</v>
          </cell>
          <cell r="U164">
            <v>500</v>
          </cell>
        </row>
        <row r="165">
          <cell r="A165" t="str">
            <v xml:space="preserve">   2.b.</v>
          </cell>
          <cell r="C165" t="str">
            <v>AIR COMPRESSOR</v>
          </cell>
          <cell r="G165" t="str">
            <v>(E05)</v>
          </cell>
          <cell r="L165" t="str">
            <v>F.</v>
          </cell>
          <cell r="N165" t="str">
            <v>HARGA SATUAN PEKERJAAN  ( D + E )</v>
          </cell>
          <cell r="U165">
            <v>928065.15000000014</v>
          </cell>
        </row>
        <row r="166">
          <cell r="C166" t="str">
            <v xml:space="preserve">Kapasitas alat   -----&gt;&gt;   diambil </v>
          </cell>
          <cell r="G166" t="str">
            <v>V</v>
          </cell>
          <cell r="H166">
            <v>400</v>
          </cell>
          <cell r="I166" t="str">
            <v>M2 / Jam</v>
          </cell>
        </row>
        <row r="167">
          <cell r="C167" t="str">
            <v>Aplikasi Lapis Resap Pengikat rata-rata (Spesifikasi)</v>
          </cell>
          <cell r="G167" t="str">
            <v>Ap</v>
          </cell>
          <cell r="H167">
            <v>0.4</v>
          </cell>
          <cell r="I167" t="str">
            <v>liter / M2</v>
          </cell>
          <cell r="L167" t="str">
            <v>Note: 1</v>
          </cell>
          <cell r="N167" t="str">
            <v>SATUAN dapat berdasarkan atas jam operasi untuk Tenaga Kerja dan Peralatan, volume dan/atau ukuran berat untuk bahan-bahan</v>
          </cell>
        </row>
        <row r="168">
          <cell r="C168" t="str">
            <v>Kap. Prod. / jam =</v>
          </cell>
          <cell r="D168" t="str">
            <v>( V x Ap )</v>
          </cell>
          <cell r="G168" t="str">
            <v>Q2</v>
          </cell>
          <cell r="H168">
            <v>160</v>
          </cell>
          <cell r="I168" t="str">
            <v>liter</v>
          </cell>
          <cell r="L168">
            <v>2</v>
          </cell>
          <cell r="N168" t="str">
            <v>Kuantitas satuan adalah kuantitas setiap komponen untuk menyelesaikan satu satuan pekerjaan dari nomor mata pembayaran</v>
          </cell>
          <cell r="Q168" t="str">
            <v xml:space="preserve">JUMLAH HARGA PERALATAN   </v>
          </cell>
          <cell r="U168">
            <v>19881.580000000002</v>
          </cell>
        </row>
        <row r="169">
          <cell r="C169" t="str">
            <v>Koefisien Alat / Ltr</v>
          </cell>
          <cell r="D169" t="str">
            <v xml:space="preserve"> =  1  :  Q2</v>
          </cell>
          <cell r="G169" t="str">
            <v>(E05)</v>
          </cell>
          <cell r="H169">
            <v>6.3E-3</v>
          </cell>
          <cell r="I169" t="str">
            <v>Jam</v>
          </cell>
          <cell r="L169" t="str">
            <v>D.</v>
          </cell>
          <cell r="N169" t="str">
            <v>JUMLAH HARGA TENAGA, BAHAN DAN PERALATAN  ( A + B + C )</v>
          </cell>
          <cell r="U169">
            <v>618969.68999999994</v>
          </cell>
        </row>
        <row r="170">
          <cell r="L170" t="str">
            <v>E.</v>
          </cell>
          <cell r="N170" t="str">
            <v>OVERHEAD &amp; PROFIT</v>
          </cell>
          <cell r="P170">
            <v>10</v>
          </cell>
          <cell r="Q170" t="str">
            <v>%  x  D</v>
          </cell>
          <cell r="U170">
            <v>61896.97</v>
          </cell>
        </row>
        <row r="171">
          <cell r="J171" t="str">
            <v>Berlanjut ke hal. berikut.</v>
          </cell>
          <cell r="L171" t="str">
            <v>F.</v>
          </cell>
          <cell r="N171" t="str">
            <v>HARGA SATUAN PEKERJAAN  ( D + E )</v>
          </cell>
          <cell r="U171">
            <v>680866.65999999992</v>
          </cell>
        </row>
        <row r="172">
          <cell r="A172" t="str">
            <v>ITEM PEMBAYARAN NO.</v>
          </cell>
          <cell r="D172" t="str">
            <v>:  6.1 (2)</v>
          </cell>
          <cell r="J172" t="str">
            <v>Analisa EI-612</v>
          </cell>
          <cell r="T172" t="str">
            <v>Analisa EI-661</v>
          </cell>
        </row>
        <row r="173">
          <cell r="A173" t="str">
            <v>JENIS PEKERJAAN</v>
          </cell>
          <cell r="D173" t="str">
            <v>:  Lapis Perekat</v>
          </cell>
          <cell r="J173" t="str">
            <v>Analisa El-85</v>
          </cell>
          <cell r="L173" t="str">
            <v>Note: 1</v>
          </cell>
          <cell r="N173" t="str">
            <v>SATUAN dapat berdasarkan atas jam operasi untuk Tenaga Kerja dan Peralatan, volume dan/atau ukuran berat untuk bahan</v>
          </cell>
        </row>
        <row r="174">
          <cell r="A174" t="str">
            <v>SATUAN PEMBAYARAN</v>
          </cell>
          <cell r="D174" t="str">
            <v>:  LITER</v>
          </cell>
          <cell r="H174" t="str">
            <v xml:space="preserve">         URAIAN ANALISA HARGA SATUAN</v>
          </cell>
          <cell r="L174">
            <v>2</v>
          </cell>
          <cell r="N174" t="str">
            <v>Kuantitas satuan adalah kuantitas setiap komponen untuk menyelesaikan satu satuan pekerjaan dari nomor mata pembayaran</v>
          </cell>
        </row>
        <row r="175">
          <cell r="A175" t="str">
            <v>SATUAN PEMBAYARAN</v>
          </cell>
          <cell r="D175" t="str">
            <v>:  M3</v>
          </cell>
          <cell r="H175" t="str">
            <v xml:space="preserve">         URAIAN ANALISA HARGA SATUAN</v>
          </cell>
          <cell r="J175" t="str">
            <v>Lanjutan</v>
          </cell>
          <cell r="L175">
            <v>3</v>
          </cell>
          <cell r="N175" t="str">
            <v>Biaya satuan untuk peralatan sudah termasuk bahan bakar, bahan habis dipakai dan operator.</v>
          </cell>
        </row>
        <row r="176">
          <cell r="J176" t="str">
            <v>Lanjutan</v>
          </cell>
          <cell r="L176">
            <v>4</v>
          </cell>
          <cell r="N176" t="str">
            <v>Biaya satuan sudah termasuk pengeluaran untuk seluruh pajak yang berkaitan (tetapi tidak termasuk PPN yang dibayar dari ontrak )</v>
          </cell>
        </row>
        <row r="177">
          <cell r="A177" t="str">
            <v>No.</v>
          </cell>
          <cell r="C177" t="str">
            <v>U R A I A N</v>
          </cell>
          <cell r="G177" t="str">
            <v>KODE</v>
          </cell>
          <cell r="H177" t="str">
            <v>KOEF.</v>
          </cell>
          <cell r="I177" t="str">
            <v>SATUAN</v>
          </cell>
          <cell r="J177" t="str">
            <v>KETERANGAN</v>
          </cell>
        </row>
        <row r="178">
          <cell r="A178" t="str">
            <v>ITEM PEMBAYARAN NO.</v>
          </cell>
          <cell r="C178" t="str">
            <v>U R A I A N</v>
          </cell>
          <cell r="D178" t="str">
            <v>:  8.1(2)</v>
          </cell>
          <cell r="G178" t="str">
            <v>KODE</v>
          </cell>
          <cell r="H178" t="str">
            <v>KOEF.</v>
          </cell>
          <cell r="I178" t="str">
            <v>SATUAN</v>
          </cell>
          <cell r="J178" t="str">
            <v>Analisa EI-812</v>
          </cell>
          <cell r="L178" t="str">
            <v>No. PAKET KONTRAK</v>
          </cell>
          <cell r="O178" t="str">
            <v xml:space="preserve">: </v>
          </cell>
          <cell r="T178" t="str">
            <v>Analisa EI-8.21</v>
          </cell>
        </row>
        <row r="179">
          <cell r="A179" t="str">
            <v>JENIS PEKERJAAN</v>
          </cell>
          <cell r="D179" t="str">
            <v>:  Pondasi Agregat Kls. B Untuk Pek. Minor</v>
          </cell>
          <cell r="L179" t="str">
            <v>NAMA PAKET</v>
          </cell>
          <cell r="O179" t="str">
            <v>:  Pembangunan Jembatan Beton Tersebar di Wilayah Barat</v>
          </cell>
        </row>
        <row r="180">
          <cell r="A180" t="str">
            <v>SATUAN PEMBAYARAN</v>
          </cell>
          <cell r="C180" t="str">
            <v>DUMP TRUCK</v>
          </cell>
          <cell r="D180" t="str">
            <v>:  M3</v>
          </cell>
          <cell r="G180" t="str">
            <v>(E08)</v>
          </cell>
          <cell r="H180" t="str">
            <v xml:space="preserve">         URAIAN ANALISA HARGA SATUAN</v>
          </cell>
          <cell r="L180" t="str">
            <v>FORMULIR STANDAR UNTUK</v>
          </cell>
          <cell r="O180" t="str">
            <v>:  Lampung Timur</v>
          </cell>
        </row>
        <row r="181">
          <cell r="C181" t="str">
            <v>Sebagai alat pengangkut bahan di lokasi pekerjaan,</v>
          </cell>
          <cell r="D181" t="str">
            <v>V x Fa x 60</v>
          </cell>
          <cell r="G181" t="str">
            <v>Q1</v>
          </cell>
          <cell r="H181">
            <v>3.6549999999999998</v>
          </cell>
          <cell r="I181" t="str">
            <v>M3</v>
          </cell>
          <cell r="L181" t="str">
            <v>PEREKAMAN ANALISA MASING-MASING HARGA SATUAN</v>
          </cell>
          <cell r="O181" t="str">
            <v>:  6.6.1</v>
          </cell>
        </row>
        <row r="182">
          <cell r="C182" t="str">
            <v>Dump Truck melayani alat Asphalt Sprayer.</v>
          </cell>
          <cell r="D182" t="str">
            <v>Fk x Ts2</v>
          </cell>
          <cell r="L182" t="str">
            <v>JENIS PEKERJAAN</v>
          </cell>
          <cell r="O182" t="str">
            <v>:  Lapis Pen. Macadam Permukaan</v>
          </cell>
        </row>
        <row r="183">
          <cell r="A183" t="str">
            <v>No.</v>
          </cell>
          <cell r="C183" t="str">
            <v>U R A I A N</v>
          </cell>
          <cell r="D183" t="str">
            <v>sama dengan Asphalt Sprayer</v>
          </cell>
          <cell r="G183" t="str">
            <v>KODE</v>
          </cell>
          <cell r="H183" t="str">
            <v>KOEF.</v>
          </cell>
          <cell r="I183" t="str">
            <v>SATUAN</v>
          </cell>
          <cell r="J183" t="str">
            <v>KETERANGAN</v>
          </cell>
          <cell r="L183" t="str">
            <v>SATUAN PEMBAYARAN</v>
          </cell>
          <cell r="O183" t="str">
            <v>:  M3</v>
          </cell>
        </row>
        <row r="184">
          <cell r="L184" t="str">
            <v>PROYEK</v>
          </cell>
          <cell r="O184" t="str">
            <v>:  Peningkatan Jalan dan Jembatan Wilayah Barat</v>
          </cell>
        </row>
        <row r="185">
          <cell r="C185" t="str">
            <v>Koefisien Alat / Ltr</v>
          </cell>
          <cell r="D185" t="str">
            <v xml:space="preserve"> =  1  :  Q3</v>
          </cell>
          <cell r="G185" t="str">
            <v>(E08)</v>
          </cell>
          <cell r="H185">
            <v>3.0000000000000001E-3</v>
          </cell>
          <cell r="I185" t="str">
            <v>Jam</v>
          </cell>
          <cell r="L185" t="str">
            <v>No. PAKET KONTRAK</v>
          </cell>
          <cell r="O185" t="str">
            <v xml:space="preserve">: </v>
          </cell>
        </row>
        <row r="186">
          <cell r="A186" t="str">
            <v>I.</v>
          </cell>
          <cell r="C186" t="str">
            <v>ASUMSI</v>
          </cell>
          <cell r="G186" t="str">
            <v>(E16 )</v>
          </cell>
          <cell r="L186" t="str">
            <v>PEKERJAAN</v>
          </cell>
          <cell r="O186" t="str">
            <v>:  Pembangunan Jembatan Beton Tersebar di Wilayah Barat</v>
          </cell>
          <cell r="Q186" t="str">
            <v>PERKIRAAN</v>
          </cell>
          <cell r="R186" t="str">
            <v>HARGA</v>
          </cell>
          <cell r="S186" t="str">
            <v>JUMLAH</v>
          </cell>
        </row>
        <row r="187">
          <cell r="A187">
            <v>1</v>
          </cell>
          <cell r="C187" t="str">
            <v>Menggunakan alat berat (cara mekanik)</v>
          </cell>
          <cell r="G187" t="str">
            <v>v</v>
          </cell>
          <cell r="H187">
            <v>2</v>
          </cell>
          <cell r="I187" t="str">
            <v>KM/jam</v>
          </cell>
          <cell r="L187" t="str">
            <v>KABUPATEN</v>
          </cell>
          <cell r="N187" t="str">
            <v>KOMPONEN</v>
          </cell>
          <cell r="O187" t="str">
            <v>:  Lampung Timur</v>
          </cell>
          <cell r="P187" t="str">
            <v>SATUAN</v>
          </cell>
          <cell r="Q187" t="str">
            <v>KUANTITAS</v>
          </cell>
          <cell r="R187" t="str">
            <v>SATUAN</v>
          </cell>
          <cell r="S187" t="str">
            <v>HARGA</v>
          </cell>
        </row>
        <row r="188">
          <cell r="A188">
            <v>2</v>
          </cell>
          <cell r="C188" t="str">
            <v>Lokasi pekerjaan : setempat2 di sepanjang jalan</v>
          </cell>
          <cell r="G188" t="str">
            <v>Q4</v>
          </cell>
          <cell r="H188">
            <v>332</v>
          </cell>
          <cell r="I188" t="str">
            <v>liter</v>
          </cell>
          <cell r="L188" t="str">
            <v>ITEM PEMBAYARAN NO.</v>
          </cell>
          <cell r="O188" t="str">
            <v>:  8.2(1)</v>
          </cell>
          <cell r="R188" t="str">
            <v>(Rp.)</v>
          </cell>
          <cell r="S188" t="str">
            <v>(Rp.)</v>
          </cell>
        </row>
        <row r="189">
          <cell r="A189">
            <v>3</v>
          </cell>
          <cell r="C189" t="str">
            <v>Kondisi existing jalan : sedang</v>
          </cell>
          <cell r="G189" t="str">
            <v>Qt</v>
          </cell>
          <cell r="H189">
            <v>2324</v>
          </cell>
          <cell r="I189" t="str">
            <v>liter</v>
          </cell>
          <cell r="L189" t="str">
            <v>JENIS PEKERJAAN</v>
          </cell>
          <cell r="O189" t="str">
            <v>:  Galian Utk.Bahu &amp; Pek. Lainnya ,Rutin</v>
          </cell>
        </row>
        <row r="190">
          <cell r="A190">
            <v>4</v>
          </cell>
          <cell r="C190" t="str">
            <v>Jarak rata-rata Base Camp ke lokasi pekerjaan</v>
          </cell>
          <cell r="G190" t="str">
            <v>L</v>
          </cell>
          <cell r="H190">
            <v>1</v>
          </cell>
          <cell r="I190" t="str">
            <v>KM</v>
          </cell>
          <cell r="L190" t="str">
            <v>SATUAN PEMBAYARAN</v>
          </cell>
          <cell r="O190" t="str">
            <v>:  M3</v>
          </cell>
        </row>
        <row r="191">
          <cell r="A191">
            <v>5</v>
          </cell>
          <cell r="C191" t="str">
            <v>Tebal lapis agregat padat</v>
          </cell>
          <cell r="D191" t="str">
            <v>- Pekerja</v>
          </cell>
          <cell r="G191" t="str">
            <v>t</v>
          </cell>
          <cell r="H191">
            <v>0.2</v>
          </cell>
          <cell r="I191" t="str">
            <v>M</v>
          </cell>
          <cell r="L191" t="str">
            <v>A.</v>
          </cell>
          <cell r="N191" t="str">
            <v>TENAGA</v>
          </cell>
        </row>
        <row r="192">
          <cell r="A192">
            <v>6</v>
          </cell>
          <cell r="C192" t="str">
            <v>Faktor kembang material (Padat-Lepas)</v>
          </cell>
          <cell r="D192" t="str">
            <v>- Mandor</v>
          </cell>
          <cell r="G192" t="str">
            <v>Fk</v>
          </cell>
          <cell r="H192">
            <v>1.2</v>
          </cell>
          <cell r="I192" t="str">
            <v>-</v>
          </cell>
        </row>
        <row r="193">
          <cell r="A193">
            <v>7</v>
          </cell>
          <cell r="C193" t="str">
            <v>Jam kerja efektif per-hari</v>
          </cell>
          <cell r="D193" t="str">
            <v>n</v>
          </cell>
          <cell r="G193" t="str">
            <v>Tk</v>
          </cell>
          <cell r="H193">
            <v>7</v>
          </cell>
          <cell r="I193" t="str">
            <v>jam</v>
          </cell>
          <cell r="L193" t="str">
            <v>1.</v>
          </cell>
          <cell r="N193" t="str">
            <v>Pekerja</v>
          </cell>
          <cell r="O193" t="str">
            <v>(L01)</v>
          </cell>
          <cell r="P193" t="str">
            <v>Jam</v>
          </cell>
          <cell r="Q193" t="str">
            <v>PERKIRAAN</v>
          </cell>
          <cell r="R193" t="str">
            <v>HARGA</v>
          </cell>
          <cell r="S193" t="str">
            <v>JUMLAH</v>
          </cell>
          <cell r="U193">
            <v>11474.5</v>
          </cell>
        </row>
        <row r="194">
          <cell r="A194">
            <v>8</v>
          </cell>
          <cell r="C194" t="str">
            <v>Proporsi Campuran :</v>
          </cell>
          <cell r="D194" t="str">
            <v>- Agregat Kasar</v>
          </cell>
          <cell r="G194" t="str">
            <v>Ak</v>
          </cell>
          <cell r="H194">
            <v>40</v>
          </cell>
          <cell r="I194" t="str">
            <v>%</v>
          </cell>
          <cell r="J194" t="str">
            <v xml:space="preserve"> Gradasi harus</v>
          </cell>
          <cell r="L194" t="str">
            <v>NO.</v>
          </cell>
          <cell r="N194" t="str">
            <v>KOMPONEN</v>
          </cell>
          <cell r="O194" t="str">
            <v>(L03)</v>
          </cell>
          <cell r="P194" t="str">
            <v>SATUAN</v>
          </cell>
          <cell r="Q194" t="str">
            <v>KUANTITAS</v>
          </cell>
          <cell r="R194" t="str">
            <v>SATUAN</v>
          </cell>
          <cell r="S194" t="str">
            <v>HARGA</v>
          </cell>
          <cell r="U194">
            <v>491.78591099999994</v>
          </cell>
        </row>
        <row r="195">
          <cell r="D195" t="str">
            <v>- Agregat Halus</v>
          </cell>
          <cell r="E195" t="str">
            <v>= (Tk x P) : Qt</v>
          </cell>
          <cell r="G195" t="str">
            <v>Ah</v>
          </cell>
          <cell r="H195">
            <v>30</v>
          </cell>
          <cell r="I195" t="str">
            <v>%</v>
          </cell>
          <cell r="J195" t="str">
            <v xml:space="preserve"> memenuhi</v>
          </cell>
          <cell r="R195" t="str">
            <v>(Rp.)</v>
          </cell>
          <cell r="S195" t="str">
            <v>(Rp.)</v>
          </cell>
        </row>
        <row r="196">
          <cell r="A196" t="str">
            <v xml:space="preserve">   2.c.</v>
          </cell>
          <cell r="C196" t="str">
            <v>ALAT BANTU</v>
          </cell>
          <cell r="D196" t="str">
            <v>- Sirtu</v>
          </cell>
          <cell r="E196" t="str">
            <v>= (Tk x M) : Qt</v>
          </cell>
          <cell r="G196" t="str">
            <v>Srt</v>
          </cell>
          <cell r="H196">
            <v>30</v>
          </cell>
          <cell r="I196" t="str">
            <v>%</v>
          </cell>
          <cell r="J196" t="str">
            <v xml:space="preserve"> Spesifikasi</v>
          </cell>
        </row>
        <row r="197">
          <cell r="A197" t="str">
            <v>II.</v>
          </cell>
          <cell r="C197" t="str">
            <v>URUTAN KERJA</v>
          </cell>
          <cell r="Q197" t="str">
            <v xml:space="preserve">JUMLAH HARGA TENAGA   </v>
          </cell>
          <cell r="U197">
            <v>11966.285910999999</v>
          </cell>
        </row>
        <row r="198">
          <cell r="A198">
            <v>1</v>
          </cell>
          <cell r="C198" t="str">
            <v>Wheel Loader mencampur &amp; memuat Agregat ke Dump Truck</v>
          </cell>
          <cell r="D198" t="str">
            <v>=  2  buah.</v>
          </cell>
          <cell r="L198" t="str">
            <v>A.</v>
          </cell>
          <cell r="N198" t="str">
            <v>TENAGA</v>
          </cell>
        </row>
        <row r="199">
          <cell r="A199">
            <v>2</v>
          </cell>
          <cell r="C199" t="str">
            <v>Dump Truck mengangkut Agregat ke lokasi</v>
          </cell>
          <cell r="D199" t="str">
            <v>=  3  buah.</v>
          </cell>
          <cell r="L199" t="str">
            <v>B.</v>
          </cell>
          <cell r="N199" t="str">
            <v>BAHAN</v>
          </cell>
        </row>
        <row r="200">
          <cell r="C200" t="str">
            <v>pekerjaan dan dihampar dengan pekerja</v>
          </cell>
          <cell r="D200" t="str">
            <v>=  2  buah.</v>
          </cell>
          <cell r="L200" t="str">
            <v>1.</v>
          </cell>
          <cell r="N200" t="str">
            <v>Pekerja Biasa</v>
          </cell>
          <cell r="O200" t="str">
            <v>(L01)</v>
          </cell>
          <cell r="P200" t="str">
            <v>Jam</v>
          </cell>
          <cell r="Q200">
            <v>0.1124</v>
          </cell>
          <cell r="R200">
            <v>2500</v>
          </cell>
          <cell r="U200">
            <v>281</v>
          </cell>
        </row>
        <row r="201">
          <cell r="A201">
            <v>3</v>
          </cell>
          <cell r="C201" t="str">
            <v>Hamparan Agregat dibasahi dengan Water Tank</v>
          </cell>
          <cell r="L201" t="str">
            <v>2.</v>
          </cell>
          <cell r="N201" t="str">
            <v>Mandor</v>
          </cell>
          <cell r="O201" t="str">
            <v>(L03)</v>
          </cell>
          <cell r="P201" t="str">
            <v>Jam</v>
          </cell>
          <cell r="Q201">
            <v>3.7499999999999999E-2</v>
          </cell>
          <cell r="R201">
            <v>3571.43</v>
          </cell>
          <cell r="U201">
            <v>133.93</v>
          </cell>
        </row>
        <row r="202">
          <cell r="A202" t="str">
            <v xml:space="preserve">   3.</v>
          </cell>
          <cell r="C202" t="str">
            <v>Truck sebelum dipadatkan dengan Pedestrian Roller</v>
          </cell>
          <cell r="L202" t="str">
            <v>2.</v>
          </cell>
          <cell r="N202" t="str">
            <v>Agregat Pengunci</v>
          </cell>
          <cell r="O202" t="str">
            <v>(M04a)</v>
          </cell>
          <cell r="P202" t="str">
            <v>M3</v>
          </cell>
          <cell r="Q202">
            <v>0.30559999999999998</v>
          </cell>
          <cell r="R202">
            <v>115100</v>
          </cell>
          <cell r="U202">
            <v>35174.559999999998</v>
          </cell>
        </row>
        <row r="203">
          <cell r="A203">
            <v>4</v>
          </cell>
          <cell r="C203" t="str">
            <v>Sekelompok pekerja membuat galian lubang/patching,-</v>
          </cell>
          <cell r="G203" t="str">
            <v>Q2</v>
          </cell>
          <cell r="H203">
            <v>37.35</v>
          </cell>
          <cell r="I203" t="str">
            <v>M3/jam</v>
          </cell>
          <cell r="L203" t="str">
            <v>3</v>
          </cell>
          <cell r="N203" t="str">
            <v>Aspal</v>
          </cell>
          <cell r="O203" t="str">
            <v>(M10)</v>
          </cell>
          <cell r="P203" t="str">
            <v>Kg</v>
          </cell>
          <cell r="Q203">
            <v>109.2</v>
          </cell>
          <cell r="R203">
            <v>3500</v>
          </cell>
          <cell r="U203">
            <v>382200</v>
          </cell>
        </row>
        <row r="204">
          <cell r="C204" t="str">
            <v>merapikan  tepi hamparan dan level permukaan -</v>
          </cell>
          <cell r="G204" t="str">
            <v>Qt</v>
          </cell>
          <cell r="H204">
            <v>261.45</v>
          </cell>
          <cell r="I204" t="str">
            <v>M3</v>
          </cell>
          <cell r="L204">
            <v>4</v>
          </cell>
          <cell r="N204" t="str">
            <v>Agregat Penutup (pasir)</v>
          </cell>
          <cell r="O204" t="str">
            <v>(M01)</v>
          </cell>
          <cell r="P204" t="str">
            <v>M3</v>
          </cell>
          <cell r="Q204" t="str">
            <v xml:space="preserve">JUMLAH HARGA TENAGA   </v>
          </cell>
          <cell r="R204">
            <v>48500</v>
          </cell>
          <cell r="U204">
            <v>414.93</v>
          </cell>
        </row>
        <row r="205">
          <cell r="C205" t="str">
            <v>dengan menggunakan alat.</v>
          </cell>
        </row>
        <row r="206">
          <cell r="A206" t="str">
            <v>III.</v>
          </cell>
          <cell r="C206" t="str">
            <v>PEMAKAIAN BAHAN, ALAT DAN TENAGA</v>
          </cell>
          <cell r="D206" t="str">
            <v>- Pekerja</v>
          </cell>
          <cell r="G206" t="str">
            <v>P</v>
          </cell>
          <cell r="H206">
            <v>160</v>
          </cell>
          <cell r="I206" t="str">
            <v>orang</v>
          </cell>
          <cell r="L206" t="str">
            <v>B.</v>
          </cell>
          <cell r="N206" t="str">
            <v>BAHAN</v>
          </cell>
        </row>
        <row r="207">
          <cell r="A207" t="str">
            <v xml:space="preserve">   1.</v>
          </cell>
          <cell r="C207" t="str">
            <v>BAHAN</v>
          </cell>
          <cell r="D207">
            <v>4614.92</v>
          </cell>
          <cell r="E207" t="str">
            <v xml:space="preserve"> / liter.</v>
          </cell>
          <cell r="G207" t="str">
            <v>M</v>
          </cell>
          <cell r="H207">
            <v>5</v>
          </cell>
          <cell r="I207" t="str">
            <v>orang</v>
          </cell>
          <cell r="Q207" t="str">
            <v xml:space="preserve">JUMLAH HARGA BAHAN   </v>
          </cell>
          <cell r="U207">
            <v>580442.29</v>
          </cell>
        </row>
        <row r="208">
          <cell r="C208" t="str">
            <v>- Agregat Kasar</v>
          </cell>
          <cell r="D208" t="str">
            <v>=  Ak x 1 M3 x Fk</v>
          </cell>
          <cell r="G208" t="str">
            <v>M03</v>
          </cell>
          <cell r="H208">
            <v>0.48</v>
          </cell>
          <cell r="I208" t="str">
            <v>M3</v>
          </cell>
        </row>
        <row r="209">
          <cell r="C209" t="str">
            <v>- Agregat Halus</v>
          </cell>
          <cell r="D209" t="str">
            <v>=  Ah x 1 M3 x Fk</v>
          </cell>
          <cell r="G209" t="str">
            <v>M04</v>
          </cell>
          <cell r="H209">
            <v>0.36</v>
          </cell>
          <cell r="I209" t="str">
            <v>M3</v>
          </cell>
          <cell r="L209" t="str">
            <v>C.</v>
          </cell>
          <cell r="N209" t="str">
            <v>PERALATAN</v>
          </cell>
        </row>
        <row r="210">
          <cell r="C210" t="str">
            <v>- Sirtu</v>
          </cell>
          <cell r="D210" t="str">
            <v>=  Srt  x 1 M3 x Fk</v>
          </cell>
          <cell r="E210" t="str">
            <v>= (Tk x P) : Qt</v>
          </cell>
          <cell r="G210" t="str">
            <v>M04</v>
          </cell>
          <cell r="H210">
            <v>0.36</v>
          </cell>
          <cell r="I210" t="str">
            <v>M3</v>
          </cell>
        </row>
        <row r="211">
          <cell r="A211" t="str">
            <v xml:space="preserve">   2.</v>
          </cell>
          <cell r="C211" t="str">
            <v>ALAT</v>
          </cell>
          <cell r="D211" t="str">
            <v>- Mandor</v>
          </cell>
          <cell r="E211" t="str">
            <v>= (Tk x M) : Qt</v>
          </cell>
          <cell r="G211" t="str">
            <v>(L03)</v>
          </cell>
          <cell r="H211">
            <v>0.13389999999999999</v>
          </cell>
          <cell r="I211" t="str">
            <v>jam</v>
          </cell>
          <cell r="L211" t="str">
            <v>1.</v>
          </cell>
          <cell r="N211" t="str">
            <v>Wheel Loader</v>
          </cell>
          <cell r="O211" t="str">
            <v>(E15)</v>
          </cell>
          <cell r="P211" t="str">
            <v>Jam</v>
          </cell>
          <cell r="Q211">
            <v>0</v>
          </cell>
          <cell r="R211">
            <v>143049.93</v>
          </cell>
          <cell r="U211">
            <v>0</v>
          </cell>
        </row>
        <row r="212">
          <cell r="A212" t="str">
            <v xml:space="preserve">   2.a.</v>
          </cell>
          <cell r="C212" t="str">
            <v>WHEEL LOADER</v>
          </cell>
          <cell r="G212" t="str">
            <v>(E15)</v>
          </cell>
          <cell r="L212" t="str">
            <v>2.</v>
          </cell>
          <cell r="N212" t="str">
            <v>Dump Truck</v>
          </cell>
          <cell r="O212" t="str">
            <v>(E09)</v>
          </cell>
          <cell r="P212" t="str">
            <v>Jam</v>
          </cell>
          <cell r="Q212">
            <v>4.2500000000000003E-2</v>
          </cell>
          <cell r="R212">
            <v>102654.43</v>
          </cell>
          <cell r="U212">
            <v>4362.8132750000004</v>
          </cell>
        </row>
        <row r="213">
          <cell r="A213" t="str">
            <v>4.</v>
          </cell>
          <cell r="C213" t="str">
            <v>Kapasitas bucket</v>
          </cell>
          <cell r="G213" t="str">
            <v>V</v>
          </cell>
          <cell r="H213">
            <v>1.5</v>
          </cell>
          <cell r="I213" t="str">
            <v>M3</v>
          </cell>
          <cell r="L213" t="str">
            <v>3.</v>
          </cell>
          <cell r="N213" t="str">
            <v xml:space="preserve">Three Wheel Roller     </v>
          </cell>
          <cell r="O213" t="str">
            <v>(E16)</v>
          </cell>
          <cell r="P213" t="str">
            <v>Jam</v>
          </cell>
          <cell r="Q213">
            <v>4.5897877223178424E-2</v>
          </cell>
          <cell r="R213">
            <v>70179.929999999993</v>
          </cell>
          <cell r="U213">
            <v>3221.1098106712557</v>
          </cell>
        </row>
        <row r="214">
          <cell r="C214" t="str">
            <v>Faktor bucket</v>
          </cell>
          <cell r="G214" t="str">
            <v>Fb</v>
          </cell>
          <cell r="H214">
            <v>0.9</v>
          </cell>
          <cell r="I214" t="str">
            <v>-</v>
          </cell>
          <cell r="L214" t="str">
            <v>4.</v>
          </cell>
          <cell r="N214" t="str">
            <v>Asp. Sprayer</v>
          </cell>
          <cell r="O214" t="str">
            <v>(E03)</v>
          </cell>
          <cell r="P214" t="str">
            <v>Jam</v>
          </cell>
          <cell r="Q214" t="str">
            <v xml:space="preserve">JUMLAH HARGA BAHAN   </v>
          </cell>
          <cell r="R214">
            <v>24722.73</v>
          </cell>
          <cell r="U214">
            <v>0</v>
          </cell>
        </row>
        <row r="215">
          <cell r="C215" t="str">
            <v>Faktor Efisiensi alat</v>
          </cell>
          <cell r="G215" t="str">
            <v>Fa</v>
          </cell>
          <cell r="H215">
            <v>0.83</v>
          </cell>
          <cell r="I215" t="str">
            <v>-</v>
          </cell>
          <cell r="L215" t="str">
            <v>5.</v>
          </cell>
          <cell r="N215" t="str">
            <v>Alat bantu</v>
          </cell>
          <cell r="P215" t="str">
            <v>Ls</v>
          </cell>
          <cell r="Q215">
            <v>1</v>
          </cell>
          <cell r="R215">
            <v>500</v>
          </cell>
          <cell r="U215">
            <v>500</v>
          </cell>
        </row>
        <row r="216">
          <cell r="A216" t="str">
            <v>5.</v>
          </cell>
          <cell r="C216" t="str">
            <v>Waktu Siklus :</v>
          </cell>
          <cell r="G216" t="str">
            <v>Ts1</v>
          </cell>
          <cell r="L216" t="str">
            <v>C.</v>
          </cell>
          <cell r="N216" t="str">
            <v>PERALATAN</v>
          </cell>
        </row>
        <row r="217">
          <cell r="C217" t="str">
            <v>- Mencampur</v>
          </cell>
          <cell r="G217" t="str">
            <v>T1</v>
          </cell>
          <cell r="H217">
            <v>0.5</v>
          </cell>
          <cell r="I217" t="str">
            <v>menit</v>
          </cell>
        </row>
        <row r="218">
          <cell r="C218" t="str">
            <v>- Memuat dan lain-lain</v>
          </cell>
          <cell r="G218" t="str">
            <v>T2</v>
          </cell>
          <cell r="H218">
            <v>0.5</v>
          </cell>
          <cell r="I218" t="str">
            <v>menit</v>
          </cell>
          <cell r="L218" t="str">
            <v>1.</v>
          </cell>
          <cell r="N218" t="str">
            <v>Excavator</v>
          </cell>
          <cell r="O218" t="str">
            <v>(E10)</v>
          </cell>
          <cell r="P218" t="str">
            <v>Jam</v>
          </cell>
          <cell r="Q218">
            <v>3.7499999999999999E-2</v>
          </cell>
          <cell r="R218">
            <v>251051.43</v>
          </cell>
          <cell r="U218">
            <v>9414.43</v>
          </cell>
        </row>
        <row r="219">
          <cell r="C219" t="str">
            <v>SATUAN.</v>
          </cell>
          <cell r="G219" t="str">
            <v>Ts1</v>
          </cell>
          <cell r="H219">
            <v>1</v>
          </cell>
          <cell r="I219" t="str">
            <v>menit</v>
          </cell>
          <cell r="L219" t="str">
            <v>2.</v>
          </cell>
          <cell r="N219" t="str">
            <v>Dump Truck</v>
          </cell>
          <cell r="O219" t="str">
            <v>(E08)</v>
          </cell>
          <cell r="P219" t="str">
            <v>Jam</v>
          </cell>
          <cell r="Q219">
            <v>7.2300000000000003E-2</v>
          </cell>
          <cell r="R219">
            <v>82267.929999999993</v>
          </cell>
          <cell r="U219">
            <v>5947.97</v>
          </cell>
        </row>
        <row r="220">
          <cell r="C220" t="str">
            <v>Kap. Prod. / jam =</v>
          </cell>
          <cell r="D220" t="str">
            <v>V x Fb x Fa x 60</v>
          </cell>
          <cell r="G220" t="str">
            <v>Q1</v>
          </cell>
          <cell r="H220">
            <v>56.024999999999999</v>
          </cell>
          <cell r="I220" t="str">
            <v>M3</v>
          </cell>
          <cell r="L220" t="str">
            <v>3.</v>
          </cell>
          <cell r="N220" t="str">
            <v>Alat Bantu</v>
          </cell>
          <cell r="P220" t="str">
            <v>Ls</v>
          </cell>
          <cell r="Q220">
            <v>1</v>
          </cell>
          <cell r="R220">
            <v>100</v>
          </cell>
          <cell r="U220">
            <v>100</v>
          </cell>
        </row>
        <row r="221">
          <cell r="C221" t="str">
            <v>Rp.</v>
          </cell>
          <cell r="D221" t="str">
            <v>Fk x Ts1</v>
          </cell>
          <cell r="E221" t="str">
            <v xml:space="preserve"> / M3</v>
          </cell>
          <cell r="L221" t="str">
            <v>E.</v>
          </cell>
          <cell r="N221" t="str">
            <v>OVERHEAD &amp; PROFIT</v>
          </cell>
          <cell r="P221">
            <v>10</v>
          </cell>
          <cell r="Q221" t="str">
            <v>%  x  D</v>
          </cell>
          <cell r="U221">
            <v>60816.15</v>
          </cell>
        </row>
        <row r="222">
          <cell r="C222" t="str">
            <v>Koefisien Alat / M3</v>
          </cell>
          <cell r="D222" t="str">
            <v xml:space="preserve"> =  1  :  Q1</v>
          </cell>
          <cell r="G222" t="str">
            <v>(E15)</v>
          </cell>
          <cell r="H222">
            <v>1.78E-2</v>
          </cell>
          <cell r="I222" t="str">
            <v>jam</v>
          </cell>
          <cell r="L222" t="str">
            <v>F.</v>
          </cell>
          <cell r="N222" t="str">
            <v>HARGA SATUAN PEKERJAAN  ( D + E )</v>
          </cell>
          <cell r="U222">
            <v>668977.63984267134</v>
          </cell>
        </row>
        <row r="224">
          <cell r="A224" t="str">
            <v xml:space="preserve">   2.b.</v>
          </cell>
          <cell r="C224" t="str">
            <v>DUMP TRUCK</v>
          </cell>
          <cell r="G224" t="str">
            <v>(E09)</v>
          </cell>
          <cell r="L224" t="str">
            <v>Note: 1</v>
          </cell>
          <cell r="N224" t="str">
            <v>SATUAN dapat berdasarkan atas jam operasi untuk Tenaga Kerja dan Peralatan, volume dan/atau ukuran berat untuk bahan-bahan</v>
          </cell>
        </row>
        <row r="225">
          <cell r="C225" t="str">
            <v>Kapasitas bak</v>
          </cell>
          <cell r="G225" t="str">
            <v>V</v>
          </cell>
          <cell r="H225">
            <v>6</v>
          </cell>
          <cell r="I225" t="str">
            <v>M3</v>
          </cell>
          <cell r="L225">
            <v>2</v>
          </cell>
          <cell r="N225" t="str">
            <v>Kuantitas satuan adalah kuantitas setiap komponen untuk menyelesaikan satu satuan pekerjaan dari nomor mata pembayaran</v>
          </cell>
        </row>
        <row r="226">
          <cell r="C226" t="str">
            <v>Faktor Efisiensi alat</v>
          </cell>
          <cell r="G226" t="str">
            <v>Fa</v>
          </cell>
          <cell r="H226">
            <v>0.83</v>
          </cell>
          <cell r="I226" t="str">
            <v>-</v>
          </cell>
          <cell r="L226">
            <v>3</v>
          </cell>
          <cell r="N226" t="str">
            <v>Biaya satuan untuk peralatan sudah termasuk bahan bakar, bahan habis dipakai dan operator.</v>
          </cell>
          <cell r="Q226" t="str">
            <v xml:space="preserve">JUMLAH HARGA PERALATAN   </v>
          </cell>
          <cell r="U226">
            <v>15462.400000000001</v>
          </cell>
        </row>
        <row r="227">
          <cell r="C227" t="str">
            <v>Kecepatan rata-rata bermuatan</v>
          </cell>
          <cell r="G227" t="str">
            <v>v1</v>
          </cell>
          <cell r="H227">
            <v>40</v>
          </cell>
          <cell r="I227" t="str">
            <v>KM/jam</v>
          </cell>
          <cell r="L227" t="str">
            <v>D.</v>
          </cell>
          <cell r="N227" t="str">
            <v>JUMLAH HARGA TENAGA, BAHAN DAN PERALATAN  ( A + B + C )</v>
          </cell>
          <cell r="U227">
            <v>15877.330000000002</v>
          </cell>
        </row>
        <row r="228">
          <cell r="C228" t="str">
            <v>Kecepatan rata-rata kosong</v>
          </cell>
          <cell r="G228" t="str">
            <v>v2</v>
          </cell>
          <cell r="H228">
            <v>60</v>
          </cell>
          <cell r="I228" t="str">
            <v>KM/jam</v>
          </cell>
          <cell r="L228" t="str">
            <v>E.</v>
          </cell>
          <cell r="N228" t="str">
            <v>OVERHEAD &amp; PROFIT</v>
          </cell>
          <cell r="P228">
            <v>10</v>
          </cell>
          <cell r="Q228" t="str">
            <v>%  x  D</v>
          </cell>
          <cell r="U228">
            <v>1587.73</v>
          </cell>
        </row>
        <row r="229">
          <cell r="A229" t="str">
            <v>ITEM PEMBAYARAN NO.</v>
          </cell>
          <cell r="C229" t="str">
            <v>Waktu Siklus :</v>
          </cell>
          <cell r="D229" t="str">
            <v>:  6.3 (4)</v>
          </cell>
          <cell r="G229" t="str">
            <v>Ts2</v>
          </cell>
          <cell r="J229" t="str">
            <v>Analisa EI-634</v>
          </cell>
          <cell r="L229" t="str">
            <v>F.</v>
          </cell>
          <cell r="N229" t="str">
            <v>HARGA SATUAN PEKERJAAN  ( D + E )</v>
          </cell>
          <cell r="U229">
            <v>17465.060000000001</v>
          </cell>
        </row>
        <row r="230">
          <cell r="A230" t="str">
            <v>JENIS PEKERJAAN</v>
          </cell>
          <cell r="C230" t="str">
            <v>- Waktu tempuh isi           =  (L : v1) x 60 menit</v>
          </cell>
          <cell r="D230" t="str">
            <v>:  Asphalt Treated Base (ATB)</v>
          </cell>
          <cell r="G230" t="str">
            <v>T1</v>
          </cell>
          <cell r="H230">
            <v>1.5</v>
          </cell>
          <cell r="I230" t="str">
            <v>menit</v>
          </cell>
        </row>
        <row r="231">
          <cell r="A231" t="str">
            <v>SATUAN PEMBAYARAN</v>
          </cell>
          <cell r="C231" t="str">
            <v>- Waktu tempuh kosong  =  (L : v2) x 60 menit</v>
          </cell>
          <cell r="D231" t="str">
            <v>:  M3</v>
          </cell>
          <cell r="G231" t="str">
            <v>T2</v>
          </cell>
          <cell r="H231">
            <v>1</v>
          </cell>
          <cell r="I231" t="str">
            <v>menit</v>
          </cell>
          <cell r="L231" t="str">
            <v>Note: 1</v>
          </cell>
          <cell r="N231" t="str">
            <v>SATUAN dapat berdasarkan atas jam operasi untuk Tenaga Kerja dan Peralatan, volume dan/atau ukuran berat untuk bahan</v>
          </cell>
        </row>
        <row r="232">
          <cell r="C232" t="str">
            <v>- Lain-lain (termasuk dumping setempat-setempat)</v>
          </cell>
          <cell r="G232" t="str">
            <v>T3</v>
          </cell>
          <cell r="H232">
            <v>20</v>
          </cell>
          <cell r="I232" t="str">
            <v>menit</v>
          </cell>
          <cell r="L232">
            <v>2</v>
          </cell>
          <cell r="N232" t="str">
            <v>Kuantitas satuan adalah kuantitas setiap komponen untuk menyelesaikan satu satuan pekerjaan dari nomor mata pembayaran</v>
          </cell>
        </row>
        <row r="233">
          <cell r="G233" t="str">
            <v>Ts2</v>
          </cell>
          <cell r="H233">
            <v>22.5</v>
          </cell>
          <cell r="I233" t="str">
            <v>menit</v>
          </cell>
          <cell r="L233">
            <v>3</v>
          </cell>
          <cell r="N233" t="str">
            <v>Biaya satuan untuk peralatan sudah termasuk bahan bakar, bahan habis dipakai dan operator.</v>
          </cell>
        </row>
        <row r="234">
          <cell r="A234" t="str">
            <v>No.</v>
          </cell>
          <cell r="C234" t="str">
            <v>U R A I A N</v>
          </cell>
          <cell r="G234" t="str">
            <v>KODE</v>
          </cell>
          <cell r="H234" t="str">
            <v>KOEF.</v>
          </cell>
          <cell r="I234" t="str">
            <v>SATUAN</v>
          </cell>
          <cell r="J234" t="str">
            <v>KETERANGAN</v>
          </cell>
          <cell r="L234">
            <v>4</v>
          </cell>
          <cell r="N234" t="str">
            <v>Biaya satuan sudah termasuk pengeluaran untuk seluruh pajak yang berkaitan (tetapi tidak termasuk PPN yang dibayar dari ontrak )</v>
          </cell>
        </row>
        <row r="235">
          <cell r="J235" t="str">
            <v>Berlanjut ke halaman berikut</v>
          </cell>
        </row>
        <row r="236">
          <cell r="A236" t="str">
            <v>ITEM PEMBAYARAN NO.</v>
          </cell>
          <cell r="D236" t="str">
            <v>:  8.1(2)</v>
          </cell>
          <cell r="J236" t="str">
            <v>Analisa EI-812</v>
          </cell>
        </row>
        <row r="237">
          <cell r="A237" t="str">
            <v>JENIS PEKERJAAN</v>
          </cell>
          <cell r="C237" t="str">
            <v>ASUMSI</v>
          </cell>
          <cell r="D237" t="str">
            <v>:  Pondasi Agregat Kls. B Untuk Pek. Minor</v>
          </cell>
        </row>
        <row r="238">
          <cell r="A238" t="str">
            <v>SATUAN PEMBAYARAN</v>
          </cell>
          <cell r="C238" t="str">
            <v>Menggunakan alat berat (cara mekanik)</v>
          </cell>
          <cell r="D238" t="str">
            <v>:  M3</v>
          </cell>
          <cell r="H238" t="str">
            <v xml:space="preserve">         URAIAN ANALISA HARGA SATUAN</v>
          </cell>
        </row>
        <row r="239">
          <cell r="A239">
            <v>2</v>
          </cell>
          <cell r="C239" t="str">
            <v>Lokasi pekerjaan : sepanjang jalan</v>
          </cell>
          <cell r="J239" t="str">
            <v>Lanjutan</v>
          </cell>
        </row>
        <row r="240">
          <cell r="A240">
            <v>3</v>
          </cell>
          <cell r="C240" t="str">
            <v>Kondisi existing jalan : sedang</v>
          </cell>
        </row>
        <row r="241">
          <cell r="A241" t="str">
            <v>No.</v>
          </cell>
          <cell r="C241" t="str">
            <v>U R A I A N</v>
          </cell>
          <cell r="G241" t="str">
            <v>KODE</v>
          </cell>
          <cell r="H241" t="str">
            <v>KOEF.</v>
          </cell>
          <cell r="I241" t="str">
            <v>SATUAN</v>
          </cell>
          <cell r="J241" t="str">
            <v>KETERANGAN</v>
          </cell>
        </row>
        <row r="242">
          <cell r="A242">
            <v>5</v>
          </cell>
          <cell r="C242" t="str">
            <v>Tebal Lapis (ATB) padat</v>
          </cell>
          <cell r="G242" t="str">
            <v>t</v>
          </cell>
          <cell r="H242">
            <v>0.05</v>
          </cell>
          <cell r="I242" t="str">
            <v>M</v>
          </cell>
        </row>
        <row r="243">
          <cell r="A243">
            <v>6</v>
          </cell>
          <cell r="C243" t="str">
            <v>Jam kerja efektif per-hari</v>
          </cell>
          <cell r="G243" t="str">
            <v>Tk</v>
          </cell>
          <cell r="H243">
            <v>7</v>
          </cell>
          <cell r="I243" t="str">
            <v>Jam</v>
          </cell>
        </row>
        <row r="244">
          <cell r="A244">
            <v>7</v>
          </cell>
          <cell r="C244" t="str">
            <v>Kap. Prod. / jam =</v>
          </cell>
          <cell r="D244" t="str">
            <v>V x Fa x 60</v>
          </cell>
          <cell r="E244" t="str">
            <v>- Agregat</v>
          </cell>
          <cell r="G244" t="str">
            <v>Q2</v>
          </cell>
          <cell r="H244">
            <v>11.066700000000001</v>
          </cell>
          <cell r="I244" t="str">
            <v>M3</v>
          </cell>
        </row>
        <row r="245">
          <cell r="A245" t="str">
            <v/>
          </cell>
          <cell r="D245" t="str">
            <v>Fk x Ts2</v>
          </cell>
          <cell r="E245" t="str">
            <v>- Aspal</v>
          </cell>
          <cell r="G245" t="str">
            <v>Fh2</v>
          </cell>
          <cell r="H245">
            <v>1.05</v>
          </cell>
          <cell r="I245" t="str">
            <v>-</v>
          </cell>
        </row>
        <row r="246">
          <cell r="A246">
            <v>8</v>
          </cell>
          <cell r="C246" t="str">
            <v>Koefisien Alat / M3</v>
          </cell>
          <cell r="D246" t="str">
            <v xml:space="preserve"> =  1  :  Q2</v>
          </cell>
          <cell r="G246" t="str">
            <v>(E09)</v>
          </cell>
          <cell r="H246">
            <v>9.0399999999999994E-2</v>
          </cell>
          <cell r="I246" t="str">
            <v>jam</v>
          </cell>
        </row>
        <row r="247">
          <cell r="C247" t="str">
            <v xml:space="preserve">- Coarse Agregat  </v>
          </cell>
          <cell r="G247" t="str">
            <v>CA</v>
          </cell>
          <cell r="H247">
            <v>55</v>
          </cell>
          <cell r="I247" t="str">
            <v>%</v>
          </cell>
          <cell r="J247" t="str">
            <v xml:space="preserve"> Gradasi harus -</v>
          </cell>
        </row>
        <row r="248">
          <cell r="A248" t="str">
            <v xml:space="preserve">   2.c.</v>
          </cell>
          <cell r="C248" t="str">
            <v>PEDESTRIAN ROLLER</v>
          </cell>
          <cell r="G248" t="str">
            <v>(E24)</v>
          </cell>
          <cell r="H248">
            <v>33.5</v>
          </cell>
          <cell r="I248" t="str">
            <v>%</v>
          </cell>
          <cell r="J248" t="str">
            <v xml:space="preserve"> memenuhi -</v>
          </cell>
        </row>
        <row r="249">
          <cell r="C249" t="str">
            <v>Kecepatan rata-rata alat</v>
          </cell>
          <cell r="G249" t="str">
            <v>v</v>
          </cell>
          <cell r="H249">
            <v>2.5</v>
          </cell>
          <cell r="I249" t="str">
            <v>KM/jam</v>
          </cell>
          <cell r="J249" t="str">
            <v xml:space="preserve"> Spesifikasi</v>
          </cell>
        </row>
        <row r="250">
          <cell r="C250" t="str">
            <v>Lebar efektif pemadatan</v>
          </cell>
          <cell r="D250" t="str">
            <v>minimum 6 %</v>
          </cell>
          <cell r="G250" t="str">
            <v>b</v>
          </cell>
          <cell r="H250">
            <v>0.8</v>
          </cell>
          <cell r="I250" t="str">
            <v>M</v>
          </cell>
        </row>
        <row r="251">
          <cell r="A251">
            <v>9</v>
          </cell>
          <cell r="C251" t="str">
            <v>Jumlah lintasan</v>
          </cell>
          <cell r="G251" t="str">
            <v>n</v>
          </cell>
          <cell r="H251">
            <v>12</v>
          </cell>
          <cell r="I251" t="str">
            <v>lintasan</v>
          </cell>
        </row>
        <row r="252">
          <cell r="C252" t="str">
            <v>Faktor Efisiensi alat</v>
          </cell>
          <cell r="G252" t="str">
            <v>Fa</v>
          </cell>
          <cell r="H252">
            <v>0.83</v>
          </cell>
          <cell r="I252" t="str">
            <v>-</v>
          </cell>
        </row>
        <row r="253">
          <cell r="C253" t="str">
            <v>- Coarse Agregat &amp; Fine Agregat</v>
          </cell>
          <cell r="G253" t="str">
            <v>D2</v>
          </cell>
          <cell r="H253">
            <v>1.8</v>
          </cell>
          <cell r="I253" t="str">
            <v>ton / M3</v>
          </cell>
        </row>
        <row r="254">
          <cell r="C254" t="str">
            <v>Kap. Prod. / jam =</v>
          </cell>
          <cell r="D254" t="str">
            <v>(v x 1000) x b x t x Fa</v>
          </cell>
          <cell r="G254" t="str">
            <v>Q3</v>
          </cell>
          <cell r="H254">
            <v>27.666699999999999</v>
          </cell>
          <cell r="I254" t="str">
            <v>M3</v>
          </cell>
        </row>
        <row r="255">
          <cell r="C255" t="str">
            <v>- Asphalt</v>
          </cell>
          <cell r="D255" t="str">
            <v>n</v>
          </cell>
          <cell r="G255" t="str">
            <v>D4</v>
          </cell>
          <cell r="H255">
            <v>1.03</v>
          </cell>
          <cell r="I255" t="str">
            <v>ton / M3</v>
          </cell>
        </row>
        <row r="256">
          <cell r="C256" t="str">
            <v>Koefisien Alat / M3</v>
          </cell>
          <cell r="D256" t="str">
            <v xml:space="preserve"> =  1  :  Q3</v>
          </cell>
          <cell r="G256" t="str">
            <v>(E24)</v>
          </cell>
          <cell r="H256">
            <v>3.61E-2</v>
          </cell>
          <cell r="I256" t="str">
            <v>jam</v>
          </cell>
        </row>
        <row r="257">
          <cell r="A257" t="str">
            <v>II.</v>
          </cell>
          <cell r="C257" t="str">
            <v>URUTAN KERJA</v>
          </cell>
        </row>
        <row r="258">
          <cell r="A258" t="str">
            <v xml:space="preserve">   2.d.</v>
          </cell>
          <cell r="C258" t="str">
            <v>WATER TANK TRUCK</v>
          </cell>
          <cell r="G258" t="str">
            <v>(E23)</v>
          </cell>
        </row>
        <row r="259">
          <cell r="A259">
            <v>2</v>
          </cell>
          <cell r="C259" t="str">
            <v>Volume tanki air</v>
          </cell>
          <cell r="G259" t="str">
            <v>V</v>
          </cell>
          <cell r="H259">
            <v>4</v>
          </cell>
          <cell r="I259" t="str">
            <v>M3</v>
          </cell>
        </row>
        <row r="260">
          <cell r="C260" t="str">
            <v>Kebutuhan air / M3 agregat padat</v>
          </cell>
          <cell r="G260" t="str">
            <v>Wc</v>
          </cell>
          <cell r="H260">
            <v>7.0000000000000007E-2</v>
          </cell>
          <cell r="I260" t="str">
            <v>M3</v>
          </cell>
        </row>
        <row r="261">
          <cell r="A261" t="str">
            <v/>
          </cell>
          <cell r="C261" t="str">
            <v>Pengisian tanki / jam</v>
          </cell>
          <cell r="G261" t="str">
            <v>n</v>
          </cell>
          <cell r="H261">
            <v>1</v>
          </cell>
          <cell r="I261" t="str">
            <v>kali</v>
          </cell>
        </row>
        <row r="262">
          <cell r="A262">
            <v>3</v>
          </cell>
          <cell r="C262" t="str">
            <v>Faktor Efisiensi alat</v>
          </cell>
          <cell r="G262" t="str">
            <v>Fa</v>
          </cell>
          <cell r="H262">
            <v>0.83</v>
          </cell>
          <cell r="I262" t="str">
            <v>-</v>
          </cell>
        </row>
        <row r="263">
          <cell r="C263" t="str">
            <v>dan dipadatkan dengan Tandem (Awal &amp; Akhir) dan</v>
          </cell>
        </row>
        <row r="264">
          <cell r="A264" t="str">
            <v/>
          </cell>
          <cell r="C264" t="str">
            <v>Kap. Prod. / jam =</v>
          </cell>
          <cell r="D264" t="str">
            <v>V x n x Fa</v>
          </cell>
          <cell r="G264" t="str">
            <v>Q4</v>
          </cell>
          <cell r="H264">
            <v>47.428600000000003</v>
          </cell>
          <cell r="I264" t="str">
            <v>M3</v>
          </cell>
        </row>
        <row r="265">
          <cell r="A265">
            <v>4</v>
          </cell>
          <cell r="C265" t="str">
            <v>Selama pemadatan, sekelompok  pekerja akan merapikan tepi</v>
          </cell>
          <cell r="D265" t="str">
            <v>Wc</v>
          </cell>
        </row>
        <row r="266">
          <cell r="A266" t="str">
            <v/>
          </cell>
          <cell r="C266" t="str">
            <v>Koefisien Alat / M3</v>
          </cell>
          <cell r="D266" t="str">
            <v xml:space="preserve"> =  1  :  Q4</v>
          </cell>
          <cell r="G266" t="str">
            <v>(E23)</v>
          </cell>
          <cell r="H266">
            <v>2.1100000000000001E-2</v>
          </cell>
          <cell r="I266" t="str">
            <v>jam</v>
          </cell>
        </row>
        <row r="267">
          <cell r="A267" t="str">
            <v/>
          </cell>
        </row>
        <row r="268">
          <cell r="A268" t="str">
            <v xml:space="preserve">   2.e.</v>
          </cell>
          <cell r="C268" t="str">
            <v>ALAT BANTU</v>
          </cell>
          <cell r="J268" t="str">
            <v xml:space="preserve"> Lump Sum</v>
          </cell>
        </row>
        <row r="269">
          <cell r="A269" t="str">
            <v xml:space="preserve">   1.</v>
          </cell>
          <cell r="C269" t="str">
            <v>Diperlukan   :</v>
          </cell>
        </row>
        <row r="270">
          <cell r="A270" t="str">
            <v>1.a.</v>
          </cell>
          <cell r="C270" t="str">
            <v>- Kereta dorong</v>
          </cell>
          <cell r="D270" t="str">
            <v>= 5 buah</v>
          </cell>
          <cell r="G270" t="str">
            <v>(M03a)</v>
          </cell>
          <cell r="H270">
            <v>0.77310000000000001</v>
          </cell>
          <cell r="I270" t="str">
            <v>M3</v>
          </cell>
        </row>
        <row r="271">
          <cell r="A271" t="str">
            <v>1.b.</v>
          </cell>
          <cell r="C271" t="str">
            <v>- Sekop</v>
          </cell>
          <cell r="D271" t="str">
            <v>= 10 buah</v>
          </cell>
          <cell r="G271" t="str">
            <v>(M04a)</v>
          </cell>
          <cell r="H271">
            <v>0.47089999999999999</v>
          </cell>
          <cell r="I271" t="str">
            <v>M3</v>
          </cell>
        </row>
        <row r="272">
          <cell r="A272" t="str">
            <v>1.c.</v>
          </cell>
          <cell r="C272" t="str">
            <v>- Garpu</v>
          </cell>
          <cell r="D272" t="str">
            <v>= 10 buah</v>
          </cell>
          <cell r="G272" t="str">
            <v>(M05)</v>
          </cell>
          <cell r="H272">
            <v>126.5</v>
          </cell>
          <cell r="I272" t="str">
            <v>Kg</v>
          </cell>
        </row>
        <row r="273">
          <cell r="A273" t="str">
            <v>1.d.</v>
          </cell>
          <cell r="C273" t="str">
            <v>Aspal</v>
          </cell>
          <cell r="D273" t="str">
            <v xml:space="preserve">= (AS x (D1 x 1 M3) x Fh2) </v>
          </cell>
          <cell r="G273" t="str">
            <v>(M10)</v>
          </cell>
          <cell r="H273">
            <v>156.97499999999999</v>
          </cell>
          <cell r="I273" t="str">
            <v>Kg</v>
          </cell>
        </row>
        <row r="275">
          <cell r="A275" t="str">
            <v xml:space="preserve">   3.</v>
          </cell>
          <cell r="C275" t="str">
            <v>TENAGA</v>
          </cell>
        </row>
        <row r="276">
          <cell r="A276" t="str">
            <v>2.a.</v>
          </cell>
          <cell r="C276" t="str">
            <v>Produksi menentukan : WHEEL LOADER</v>
          </cell>
          <cell r="G276" t="str">
            <v>Q1</v>
          </cell>
          <cell r="H276">
            <v>56.024999999999999</v>
          </cell>
          <cell r="I276" t="str">
            <v>M3/jam</v>
          </cell>
        </row>
        <row r="277">
          <cell r="C277" t="str">
            <v>Produksi agregat / hari  =  Tk x Q1</v>
          </cell>
          <cell r="G277" t="str">
            <v>Qt</v>
          </cell>
          <cell r="H277">
            <v>392.17500000000001</v>
          </cell>
          <cell r="I277" t="str">
            <v>M3</v>
          </cell>
        </row>
        <row r="278">
          <cell r="C278" t="str">
            <v>Kebutuhan tenaga :</v>
          </cell>
          <cell r="G278" t="str">
            <v>Fb</v>
          </cell>
          <cell r="H278">
            <v>0.9</v>
          </cell>
          <cell r="I278" t="str">
            <v>-</v>
          </cell>
        </row>
        <row r="279">
          <cell r="C279" t="str">
            <v>Faktor efisiensi alat</v>
          </cell>
          <cell r="D279" t="str">
            <v>- Pekerja</v>
          </cell>
          <cell r="G279" t="str">
            <v>P</v>
          </cell>
          <cell r="H279">
            <v>25</v>
          </cell>
          <cell r="I279" t="str">
            <v>orang</v>
          </cell>
        </row>
        <row r="280">
          <cell r="C280" t="str">
            <v>Waktu Siklus</v>
          </cell>
          <cell r="D280" t="str">
            <v>- Mandor</v>
          </cell>
          <cell r="G280" t="str">
            <v>M</v>
          </cell>
          <cell r="H280">
            <v>1</v>
          </cell>
          <cell r="I280" t="str">
            <v>orang</v>
          </cell>
        </row>
        <row r="281">
          <cell r="C281" t="str">
            <v>- Muat</v>
          </cell>
          <cell r="G281" t="str">
            <v>T1</v>
          </cell>
          <cell r="H281">
            <v>1.5</v>
          </cell>
          <cell r="I281" t="str">
            <v>menit</v>
          </cell>
        </row>
        <row r="282">
          <cell r="C282" t="str">
            <v>Koefisien tenaga / M3   :</v>
          </cell>
          <cell r="G282" t="str">
            <v>T2</v>
          </cell>
          <cell r="H282">
            <v>0.5</v>
          </cell>
          <cell r="I282" t="str">
            <v>menit</v>
          </cell>
        </row>
        <row r="283">
          <cell r="D283" t="str">
            <v>- Pekerja</v>
          </cell>
          <cell r="E283" t="str">
            <v>= (Tk x P) : Qt</v>
          </cell>
          <cell r="G283" t="str">
            <v>(L01)</v>
          </cell>
          <cell r="H283">
            <v>0.44619999999999999</v>
          </cell>
          <cell r="I283" t="str">
            <v>jam</v>
          </cell>
        </row>
        <row r="284">
          <cell r="D284" t="str">
            <v>- Mandor</v>
          </cell>
          <cell r="E284" t="str">
            <v>= (Tk x M) : Qt</v>
          </cell>
          <cell r="G284" t="str">
            <v>(L03)</v>
          </cell>
          <cell r="H284">
            <v>1.78E-2</v>
          </cell>
          <cell r="I284" t="str">
            <v>jam</v>
          </cell>
        </row>
        <row r="285">
          <cell r="J285" t="str">
            <v>Berlanjut ke hal. berikut.</v>
          </cell>
        </row>
        <row r="286">
          <cell r="A286" t="str">
            <v>ITEM PEMBAYARAN NO.</v>
          </cell>
          <cell r="D286" t="str">
            <v>:  6.3 (4)</v>
          </cell>
          <cell r="J286" t="str">
            <v>Analisa EI-634</v>
          </cell>
        </row>
        <row r="287">
          <cell r="A287" t="str">
            <v xml:space="preserve">JENIS PEKERJAAN                                  </v>
          </cell>
          <cell r="D287" t="str">
            <v>:  Asphalt Treated Base (ATB)</v>
          </cell>
        </row>
        <row r="288">
          <cell r="A288" t="str">
            <v>SATUAN PEMBAYARAN</v>
          </cell>
          <cell r="D288" t="str">
            <v>:  M3</v>
          </cell>
          <cell r="H288" t="str">
            <v xml:space="preserve">         URAIAN ANALISA HARGA SATUAN</v>
          </cell>
        </row>
        <row r="289">
          <cell r="J289" t="str">
            <v>Lanjutan</v>
          </cell>
        </row>
        <row r="291">
          <cell r="A291" t="str">
            <v>No.</v>
          </cell>
          <cell r="C291" t="str">
            <v>U R A I A N</v>
          </cell>
          <cell r="G291" t="str">
            <v>KODE</v>
          </cell>
          <cell r="H291" t="str">
            <v>KOEF.</v>
          </cell>
          <cell r="I291" t="str">
            <v>SATUAN</v>
          </cell>
          <cell r="J291" t="str">
            <v>KETERANGAN</v>
          </cell>
        </row>
        <row r="293">
          <cell r="J293" t="str">
            <v>Berlanjut ke halaman berikut</v>
          </cell>
        </row>
        <row r="294">
          <cell r="A294" t="str">
            <v>ITEM PEMBAYARAN NO.</v>
          </cell>
          <cell r="C294" t="str">
            <v xml:space="preserve">Kap. Prod./jam = </v>
          </cell>
          <cell r="D294" t="str">
            <v>:  8.1(2)</v>
          </cell>
          <cell r="G294" t="str">
            <v>Q1</v>
          </cell>
          <cell r="H294">
            <v>26.307400000000001</v>
          </cell>
          <cell r="I294" t="str">
            <v>M3</v>
          </cell>
          <cell r="J294" t="str">
            <v>Analisa EI-812</v>
          </cell>
        </row>
        <row r="295">
          <cell r="A295" t="str">
            <v>JENIS PEKERJAAN</v>
          </cell>
          <cell r="D295" t="str">
            <v>:  Pondasi Agregat Kls. B Untuk Pek. Minor</v>
          </cell>
        </row>
        <row r="296">
          <cell r="A296" t="str">
            <v>SATUAN PEMBAYARAN</v>
          </cell>
          <cell r="D296" t="str">
            <v>:  M3</v>
          </cell>
          <cell r="H296" t="str">
            <v xml:space="preserve">         URAIAN ANALISA HARGA SATUAN</v>
          </cell>
        </row>
        <row r="297">
          <cell r="C297" t="str">
            <v>Koefisien Alat / M3</v>
          </cell>
          <cell r="D297" t="str">
            <v xml:space="preserve"> = 1 : Q1</v>
          </cell>
          <cell r="G297" t="str">
            <v>(E15)</v>
          </cell>
          <cell r="H297">
            <v>3.7999999999999999E-2</v>
          </cell>
          <cell r="I297" t="str">
            <v>Jam</v>
          </cell>
          <cell r="J297" t="str">
            <v>Lanjutan</v>
          </cell>
        </row>
        <row r="299">
          <cell r="A299" t="str">
            <v>No.</v>
          </cell>
          <cell r="C299" t="str">
            <v>U R A I A N</v>
          </cell>
          <cell r="G299" t="str">
            <v>KODE</v>
          </cell>
          <cell r="H299" t="str">
            <v>KOEF.</v>
          </cell>
          <cell r="I299" t="str">
            <v>SATUAN</v>
          </cell>
          <cell r="J299" t="str">
            <v>KETERANGAN</v>
          </cell>
        </row>
        <row r="300">
          <cell r="C300" t="str">
            <v>Kapasitas produksi</v>
          </cell>
          <cell r="G300" t="str">
            <v>V</v>
          </cell>
          <cell r="H300">
            <v>30</v>
          </cell>
          <cell r="I300" t="str">
            <v>ton / Jam</v>
          </cell>
        </row>
        <row r="301">
          <cell r="C301" t="str">
            <v>Faktor Efisiensi alat</v>
          </cell>
          <cell r="G301" t="str">
            <v>Fa</v>
          </cell>
          <cell r="H301">
            <v>0.83</v>
          </cell>
          <cell r="I301" t="str">
            <v>-</v>
          </cell>
        </row>
        <row r="302">
          <cell r="A302" t="str">
            <v>4.</v>
          </cell>
          <cell r="C302" t="str">
            <v>HARGA DASAR SATUAN UPAH, BAHAN DAN ALAT</v>
          </cell>
        </row>
        <row r="303">
          <cell r="C303" t="str">
            <v>Lihat lampiran.</v>
          </cell>
          <cell r="D303" t="str">
            <v>V x Fa</v>
          </cell>
          <cell r="G303" t="str">
            <v>Q2</v>
          </cell>
          <cell r="H303">
            <v>10.8261</v>
          </cell>
          <cell r="I303" t="str">
            <v>M3</v>
          </cell>
        </row>
        <row r="304">
          <cell r="D304" t="str">
            <v xml:space="preserve">D1 </v>
          </cell>
        </row>
        <row r="305">
          <cell r="A305" t="str">
            <v>5.</v>
          </cell>
          <cell r="C305" t="str">
            <v>ANALISA HARGA SATUAN PEKERJAAN</v>
          </cell>
          <cell r="D305" t="str">
            <v xml:space="preserve"> = 1 : Q2</v>
          </cell>
          <cell r="G305" t="str">
            <v>(E01)</v>
          </cell>
          <cell r="H305">
            <v>9.2399999999999996E-2</v>
          </cell>
          <cell r="I305" t="str">
            <v>Jam</v>
          </cell>
        </row>
        <row r="306">
          <cell r="C306" t="str">
            <v>Lihat perhitungan dalam FORMULIR STANDAR UNTUK</v>
          </cell>
        </row>
        <row r="307">
          <cell r="A307" t="str">
            <v>2.c.</v>
          </cell>
          <cell r="C307" t="str">
            <v>PEREKAMAN ANALISA MASING-MASING HARGA</v>
          </cell>
          <cell r="G307" t="str">
            <v>(E12)</v>
          </cell>
        </row>
        <row r="308">
          <cell r="C308" t="str">
            <v>SATUAN.</v>
          </cell>
          <cell r="G308" t="str">
            <v>Q3</v>
          </cell>
          <cell r="H308">
            <v>10.8261</v>
          </cell>
          <cell r="I308" t="str">
            <v>M3</v>
          </cell>
        </row>
        <row r="309">
          <cell r="C309" t="str">
            <v>Didapat Harga Satuan Pekerjaan :</v>
          </cell>
          <cell r="D309" t="str">
            <v xml:space="preserve"> = 1 : Q3</v>
          </cell>
          <cell r="G309" t="str">
            <v>(E12)</v>
          </cell>
          <cell r="H309">
            <v>9.2399999999999996E-2</v>
          </cell>
          <cell r="I309" t="str">
            <v>Jam</v>
          </cell>
        </row>
        <row r="311">
          <cell r="A311" t="str">
            <v>2.d.</v>
          </cell>
          <cell r="C311" t="str">
            <v xml:space="preserve">Rp.  </v>
          </cell>
          <cell r="D311">
            <v>20641.289999999997</v>
          </cell>
          <cell r="E311" t="str">
            <v xml:space="preserve"> / M3.</v>
          </cell>
          <cell r="G311" t="str">
            <v>(E09)</v>
          </cell>
        </row>
        <row r="312">
          <cell r="C312" t="str">
            <v>Kapasitas bak</v>
          </cell>
          <cell r="G312" t="str">
            <v>V</v>
          </cell>
          <cell r="H312">
            <v>8</v>
          </cell>
          <cell r="I312" t="str">
            <v>ton</v>
          </cell>
        </row>
        <row r="313">
          <cell r="C313" t="str">
            <v>Faktor Efisiensi alat</v>
          </cell>
          <cell r="G313" t="str">
            <v>Fa</v>
          </cell>
          <cell r="H313">
            <v>0.83</v>
          </cell>
          <cell r="I313" t="str">
            <v>-</v>
          </cell>
        </row>
        <row r="314">
          <cell r="C314" t="str">
            <v>Kecepatan rata-rata bermuatan</v>
          </cell>
          <cell r="G314" t="str">
            <v>v1</v>
          </cell>
          <cell r="H314">
            <v>40</v>
          </cell>
          <cell r="I314" t="str">
            <v>Km / Jam</v>
          </cell>
        </row>
        <row r="315">
          <cell r="C315" t="str">
            <v>Kecepatan rata-rata kosong</v>
          </cell>
          <cell r="G315" t="str">
            <v>v2</v>
          </cell>
          <cell r="H315">
            <v>50</v>
          </cell>
          <cell r="I315" t="str">
            <v>Km / Jam</v>
          </cell>
        </row>
        <row r="316">
          <cell r="C316" t="str">
            <v>Kapasitas AMP / batch</v>
          </cell>
          <cell r="G316" t="str">
            <v>Q2b</v>
          </cell>
          <cell r="H316">
            <v>0.5</v>
          </cell>
          <cell r="I316" t="str">
            <v>ton</v>
          </cell>
        </row>
        <row r="317">
          <cell r="C317" t="str">
            <v>Waktu menyiapkan 1 batch ATB</v>
          </cell>
          <cell r="G317" t="str">
            <v>Tb</v>
          </cell>
          <cell r="H317">
            <v>1</v>
          </cell>
          <cell r="I317" t="str">
            <v>menit</v>
          </cell>
        </row>
        <row r="318">
          <cell r="C318" t="str">
            <v>Waktu Siklus</v>
          </cell>
          <cell r="G318" t="str">
            <v>Ts2</v>
          </cell>
        </row>
        <row r="319">
          <cell r="C319" t="str">
            <v xml:space="preserve">- Mengisi Bak </v>
          </cell>
          <cell r="D319" t="str">
            <v>= (V : Q2b) x Tb</v>
          </cell>
          <cell r="G319" t="str">
            <v>T1</v>
          </cell>
          <cell r="H319">
            <v>16</v>
          </cell>
          <cell r="I319" t="str">
            <v>menit</v>
          </cell>
        </row>
        <row r="320">
          <cell r="C320" t="str">
            <v>- Angkut</v>
          </cell>
          <cell r="D320" t="str">
            <v>= (L : v1) x 60 menit</v>
          </cell>
          <cell r="G320" t="str">
            <v>T2</v>
          </cell>
          <cell r="H320">
            <v>1.5</v>
          </cell>
          <cell r="I320" t="str">
            <v>menit</v>
          </cell>
        </row>
        <row r="321">
          <cell r="C321" t="str">
            <v>- Tunggu + dump + Putar</v>
          </cell>
          <cell r="G321" t="str">
            <v>T3</v>
          </cell>
          <cell r="H321">
            <v>15</v>
          </cell>
          <cell r="I321" t="str">
            <v>menit</v>
          </cell>
        </row>
        <row r="322">
          <cell r="C322" t="str">
            <v>- Kembali</v>
          </cell>
          <cell r="D322" t="str">
            <v>= (L : v2) x 60 menit</v>
          </cell>
          <cell r="G322" t="str">
            <v>T4</v>
          </cell>
          <cell r="H322">
            <v>1.2</v>
          </cell>
          <cell r="I322" t="str">
            <v>menit</v>
          </cell>
        </row>
        <row r="323">
          <cell r="G323" t="str">
            <v>Ts2</v>
          </cell>
          <cell r="H323">
            <v>33.700000000000003</v>
          </cell>
          <cell r="I323" t="str">
            <v>menit</v>
          </cell>
        </row>
        <row r="325">
          <cell r="C325" t="str">
            <v>Kap.Prod. / jam =</v>
          </cell>
          <cell r="D325" t="str">
            <v>V x Fa x 60</v>
          </cell>
          <cell r="G325" t="str">
            <v>Q4</v>
          </cell>
          <cell r="H325">
            <v>5.14</v>
          </cell>
          <cell r="I325" t="str">
            <v>M3</v>
          </cell>
        </row>
        <row r="326">
          <cell r="D326" t="str">
            <v>D1 x Ts2</v>
          </cell>
        </row>
        <row r="327">
          <cell r="C327" t="str">
            <v>Koefisien Alat / M3</v>
          </cell>
          <cell r="D327" t="str">
            <v xml:space="preserve"> = 1 : Q4</v>
          </cell>
          <cell r="G327" t="str">
            <v>(E09)</v>
          </cell>
          <cell r="H327">
            <v>0.1946</v>
          </cell>
          <cell r="I327" t="str">
            <v>Jam</v>
          </cell>
        </row>
        <row r="329">
          <cell r="A329" t="str">
            <v>2.e.</v>
          </cell>
          <cell r="C329" t="str">
            <v>ASPHALT FINISHER</v>
          </cell>
          <cell r="D329" t="str">
            <v/>
          </cell>
          <cell r="G329" t="str">
            <v>(E02)</v>
          </cell>
        </row>
        <row r="330">
          <cell r="C330" t="str">
            <v>Kapasitas produksi</v>
          </cell>
          <cell r="G330" t="str">
            <v>V</v>
          </cell>
          <cell r="H330">
            <v>40</v>
          </cell>
          <cell r="I330" t="str">
            <v>ton / Jam</v>
          </cell>
        </row>
        <row r="331">
          <cell r="C331" t="str">
            <v>Faktor efisiensi alat</v>
          </cell>
          <cell r="G331" t="str">
            <v>Fa</v>
          </cell>
          <cell r="H331">
            <v>0.75</v>
          </cell>
          <cell r="I331" t="str">
            <v>-</v>
          </cell>
        </row>
        <row r="332">
          <cell r="C332" t="str">
            <v>Kap.Prod. / jam =</v>
          </cell>
          <cell r="D332" t="str">
            <v xml:space="preserve">V x Fa </v>
          </cell>
          <cell r="G332" t="str">
            <v>Q5</v>
          </cell>
          <cell r="H332">
            <v>13.0435</v>
          </cell>
          <cell r="I332" t="str">
            <v>M3</v>
          </cell>
        </row>
        <row r="333">
          <cell r="D333" t="str">
            <v xml:space="preserve">D1  </v>
          </cell>
        </row>
        <row r="334">
          <cell r="C334" t="str">
            <v>Koefisien Alat / M3</v>
          </cell>
          <cell r="D334" t="str">
            <v xml:space="preserve"> = 1 : Q5</v>
          </cell>
          <cell r="G334" t="str">
            <v>(E02)</v>
          </cell>
          <cell r="H334">
            <v>7.6700000000000004E-2</v>
          </cell>
          <cell r="I334" t="str">
            <v>Jam</v>
          </cell>
          <cell r="J334" t="str">
            <v/>
          </cell>
        </row>
        <row r="336">
          <cell r="A336" t="str">
            <v>2.f.</v>
          </cell>
          <cell r="C336" t="str">
            <v>TANDEM ROLLER</v>
          </cell>
          <cell r="G336" t="str">
            <v>(E17)</v>
          </cell>
        </row>
        <row r="337">
          <cell r="A337" t="str">
            <v/>
          </cell>
          <cell r="C337" t="str">
            <v>Kecepatan rata-rata alat</v>
          </cell>
          <cell r="G337" t="str">
            <v>v</v>
          </cell>
          <cell r="H337">
            <v>3.5</v>
          </cell>
          <cell r="I337" t="str">
            <v>Km / Jam</v>
          </cell>
        </row>
        <row r="338">
          <cell r="C338" t="str">
            <v>Lebar efektif pemadatan</v>
          </cell>
          <cell r="G338" t="str">
            <v>b</v>
          </cell>
          <cell r="H338">
            <v>1.2</v>
          </cell>
          <cell r="I338" t="str">
            <v>M</v>
          </cell>
        </row>
        <row r="339">
          <cell r="C339" t="str">
            <v>Jumlah lintasan</v>
          </cell>
          <cell r="G339" t="str">
            <v>n</v>
          </cell>
          <cell r="H339">
            <v>8</v>
          </cell>
          <cell r="I339" t="str">
            <v>lintasan</v>
          </cell>
          <cell r="J339" t="str">
            <v xml:space="preserve"> 4 Awal &amp; 4 Akhir</v>
          </cell>
        </row>
        <row r="340">
          <cell r="C340" t="str">
            <v>Faktor Efisiensi alat</v>
          </cell>
          <cell r="G340" t="str">
            <v>Fa</v>
          </cell>
          <cell r="H340">
            <v>0.83</v>
          </cell>
          <cell r="I340" t="str">
            <v>-</v>
          </cell>
        </row>
        <row r="341">
          <cell r="C341" t="str">
            <v/>
          </cell>
        </row>
        <row r="342">
          <cell r="J342" t="str">
            <v>Berlanjut ke hal. berikut.</v>
          </cell>
        </row>
        <row r="343">
          <cell r="A343" t="str">
            <v>ITEM PEMBAYARAN NO.</v>
          </cell>
          <cell r="D343" t="str">
            <v>:  6.3 (4)</v>
          </cell>
          <cell r="J343" t="str">
            <v>Analisa EI-634</v>
          </cell>
        </row>
        <row r="344">
          <cell r="A344" t="str">
            <v>JENIS PEKERJAAN</v>
          </cell>
          <cell r="D344" t="str">
            <v>:  Asphalt Treated Base (ATB)</v>
          </cell>
        </row>
        <row r="345">
          <cell r="A345" t="str">
            <v>SATUAN PEMBAYARAN</v>
          </cell>
          <cell r="D345" t="str">
            <v>:  M3</v>
          </cell>
          <cell r="H345" t="str">
            <v xml:space="preserve">         URAIAN ANALISA HARGA SATUAN</v>
          </cell>
        </row>
        <row r="346">
          <cell r="J346" t="str">
            <v>Lanjutan</v>
          </cell>
        </row>
        <row r="348">
          <cell r="A348" t="str">
            <v>No.</v>
          </cell>
          <cell r="C348" t="str">
            <v>U R A I A N</v>
          </cell>
          <cell r="G348" t="str">
            <v>KODE</v>
          </cell>
          <cell r="H348" t="str">
            <v>KOEF.</v>
          </cell>
          <cell r="I348" t="str">
            <v>SATUAN</v>
          </cell>
          <cell r="J348" t="str">
            <v>KETERANGAN</v>
          </cell>
        </row>
        <row r="351">
          <cell r="B351" t="str">
            <v/>
          </cell>
          <cell r="C351" t="str">
            <v xml:space="preserve">Kap. Prod./jam = </v>
          </cell>
          <cell r="D351" t="str">
            <v>(v x 1000) x b x t x Fa</v>
          </cell>
          <cell r="G351" t="str">
            <v>Q6</v>
          </cell>
          <cell r="H351">
            <v>21.787500000000001</v>
          </cell>
          <cell r="I351" t="str">
            <v>M3</v>
          </cell>
        </row>
        <row r="352">
          <cell r="D352" t="str">
            <v>n</v>
          </cell>
        </row>
        <row r="353">
          <cell r="A353" t="str">
            <v>ITEM PEMBAYARAN NO.</v>
          </cell>
          <cell r="C353" t="str">
            <v>Koefisien Alat / M3</v>
          </cell>
          <cell r="D353" t="str">
            <v>:  8.1 (7)</v>
          </cell>
          <cell r="G353" t="str">
            <v>(E17)</v>
          </cell>
          <cell r="H353">
            <v>4.5900000000000003E-2</v>
          </cell>
          <cell r="I353" t="str">
            <v>Jam</v>
          </cell>
          <cell r="J353" t="str">
            <v>Analisa EI-817</v>
          </cell>
        </row>
        <row r="354">
          <cell r="A354" t="str">
            <v>JENIS PEKERJAAN</v>
          </cell>
          <cell r="C354" t="str">
            <v/>
          </cell>
          <cell r="D354" t="str">
            <v>:  Penetrasi Macadam Utk.Pek.Minor</v>
          </cell>
        </row>
        <row r="355">
          <cell r="A355" t="str">
            <v>SATUAN PEMBAYARAN</v>
          </cell>
          <cell r="C355" t="str">
            <v>PNEUMATIC TIRE ROLLER</v>
          </cell>
          <cell r="D355" t="str">
            <v>:  M3</v>
          </cell>
          <cell r="G355" t="str">
            <v>(E18)</v>
          </cell>
          <cell r="H355" t="str">
            <v xml:space="preserve">         URAIAN ANALISA HARGA SATUAN</v>
          </cell>
        </row>
        <row r="356">
          <cell r="C356" t="str">
            <v>Kecepatan rata-rata</v>
          </cell>
          <cell r="G356" t="str">
            <v>v</v>
          </cell>
          <cell r="H356">
            <v>5</v>
          </cell>
          <cell r="I356" t="str">
            <v>KM / Jam</v>
          </cell>
        </row>
        <row r="357">
          <cell r="C357" t="str">
            <v>Lebar efektif pemadatan</v>
          </cell>
          <cell r="G357" t="str">
            <v>b</v>
          </cell>
          <cell r="H357">
            <v>1.5</v>
          </cell>
          <cell r="I357" t="str">
            <v>M</v>
          </cell>
        </row>
        <row r="358">
          <cell r="A358" t="str">
            <v>No.</v>
          </cell>
          <cell r="C358" t="str">
            <v>U R A I A N</v>
          </cell>
          <cell r="G358" t="str">
            <v>KODE</v>
          </cell>
          <cell r="H358" t="str">
            <v>KOEF.</v>
          </cell>
          <cell r="I358" t="str">
            <v>SATUAN</v>
          </cell>
          <cell r="J358" t="str">
            <v>KETERANGAN</v>
          </cell>
        </row>
        <row r="359">
          <cell r="C359" t="str">
            <v>Faktor Efisiensi alat</v>
          </cell>
          <cell r="G359" t="str">
            <v>Fa</v>
          </cell>
          <cell r="H359">
            <v>0.83</v>
          </cell>
          <cell r="I359" t="str">
            <v>-</v>
          </cell>
        </row>
        <row r="361">
          <cell r="A361" t="str">
            <v>I.</v>
          </cell>
          <cell r="C361" t="str">
            <v>ASUMSI</v>
          </cell>
          <cell r="D361" t="str">
            <v>(v x 1000) x b x t x Fa</v>
          </cell>
          <cell r="G361" t="str">
            <v>Q7</v>
          </cell>
          <cell r="H361">
            <v>38.906300000000002</v>
          </cell>
          <cell r="I361" t="str">
            <v>M3</v>
          </cell>
        </row>
        <row r="362">
          <cell r="A362">
            <v>1</v>
          </cell>
          <cell r="C362" t="str">
            <v>Menggunakan alat berat (cara mekanik)</v>
          </cell>
          <cell r="D362" t="str">
            <v>n</v>
          </cell>
        </row>
        <row r="363">
          <cell r="A363">
            <v>2</v>
          </cell>
          <cell r="C363" t="str">
            <v>Lokasi pekerjaan : sepanjang jalan</v>
          </cell>
          <cell r="D363" t="str">
            <v xml:space="preserve"> = 1 : Q7</v>
          </cell>
          <cell r="G363" t="str">
            <v>(E18)</v>
          </cell>
          <cell r="H363">
            <v>2.5700000000000001E-2</v>
          </cell>
          <cell r="I363" t="str">
            <v>Jam</v>
          </cell>
        </row>
        <row r="364">
          <cell r="A364">
            <v>3</v>
          </cell>
          <cell r="C364" t="str">
            <v>Kondisi existing jalan : sedang</v>
          </cell>
        </row>
        <row r="365">
          <cell r="A365">
            <v>4</v>
          </cell>
          <cell r="C365" t="str">
            <v>Jarak rata-rata Base Camp ke lokasi pekerjaan</v>
          </cell>
          <cell r="G365" t="str">
            <v>L</v>
          </cell>
          <cell r="H365">
            <v>1</v>
          </cell>
          <cell r="I365" t="str">
            <v>KM</v>
          </cell>
        </row>
        <row r="366">
          <cell r="A366">
            <v>5</v>
          </cell>
          <cell r="C366" t="str">
            <v>Tebal rata2 Lapen</v>
          </cell>
          <cell r="G366" t="str">
            <v>t</v>
          </cell>
          <cell r="H366">
            <v>0.05</v>
          </cell>
          <cell r="I366" t="str">
            <v>M</v>
          </cell>
          <cell r="J366" t="str">
            <v>Lump Sum</v>
          </cell>
        </row>
        <row r="367">
          <cell r="A367">
            <v>6</v>
          </cell>
          <cell r="C367" t="str">
            <v>Jam kerja efektif per-hari</v>
          </cell>
          <cell r="G367" t="str">
            <v>Tk</v>
          </cell>
          <cell r="H367">
            <v>7</v>
          </cell>
          <cell r="I367" t="str">
            <v>Jam</v>
          </cell>
        </row>
        <row r="368">
          <cell r="A368">
            <v>7</v>
          </cell>
          <cell r="C368" t="str">
            <v>Faktor kehilanganmaterial :</v>
          </cell>
          <cell r="E368" t="str">
            <v>- Agregat</v>
          </cell>
          <cell r="G368" t="str">
            <v>Fh1</v>
          </cell>
          <cell r="H368">
            <v>1.1000000000000001</v>
          </cell>
          <cell r="I368" t="str">
            <v>-</v>
          </cell>
        </row>
        <row r="369">
          <cell r="A369" t="str">
            <v/>
          </cell>
          <cell r="C369" t="str">
            <v>- Garpu                = 2 buah</v>
          </cell>
          <cell r="E369" t="str">
            <v>- Aspal</v>
          </cell>
          <cell r="G369" t="str">
            <v>Fh2</v>
          </cell>
          <cell r="H369">
            <v>1.05</v>
          </cell>
          <cell r="I369" t="str">
            <v>-</v>
          </cell>
        </row>
        <row r="370">
          <cell r="A370">
            <v>8</v>
          </cell>
          <cell r="C370" t="str">
            <v>Komposisi campuran Lapen (spesifikasi)  :</v>
          </cell>
        </row>
        <row r="371">
          <cell r="C371" t="str">
            <v>- Agregat Pokok</v>
          </cell>
          <cell r="G371" t="str">
            <v>Ak</v>
          </cell>
          <cell r="H371">
            <v>105</v>
          </cell>
          <cell r="I371" t="str">
            <v>Kg/M2</v>
          </cell>
          <cell r="J371" t="str">
            <v xml:space="preserve"> Tabel 6.6.3.</v>
          </cell>
        </row>
        <row r="372">
          <cell r="A372" t="str">
            <v xml:space="preserve">   3.</v>
          </cell>
          <cell r="C372" t="str">
            <v>- Agregat Pengunci</v>
          </cell>
          <cell r="G372" t="str">
            <v>Ap</v>
          </cell>
          <cell r="H372">
            <v>25</v>
          </cell>
          <cell r="I372" t="str">
            <v>Kg/M2</v>
          </cell>
          <cell r="J372" t="str">
            <v xml:space="preserve"> Tabel 6.6.3.</v>
          </cell>
        </row>
        <row r="373">
          <cell r="C373" t="str">
            <v>- Agregat Penutup</v>
          </cell>
          <cell r="G373" t="str">
            <v>Ap2</v>
          </cell>
          <cell r="H373">
            <v>14</v>
          </cell>
          <cell r="I373" t="str">
            <v>Kg/M2</v>
          </cell>
          <cell r="J373" t="str">
            <v xml:space="preserve"> Tabel 6.6.3.</v>
          </cell>
        </row>
        <row r="374">
          <cell r="C374" t="str">
            <v>- Aspal                :</v>
          </cell>
          <cell r="D374" t="str">
            <v>- Paska Agregat Pokok 3,7 kg/M2</v>
          </cell>
          <cell r="G374" t="str">
            <v>As1</v>
          </cell>
          <cell r="H374">
            <v>5.2</v>
          </cell>
          <cell r="I374" t="str">
            <v>Kg/M2</v>
          </cell>
          <cell r="J374" t="str">
            <v xml:space="preserve"> Tabel 6.6.3.</v>
          </cell>
        </row>
        <row r="375">
          <cell r="C375" t="str">
            <v>Kebutuhan tenaga :</v>
          </cell>
          <cell r="G375" t="str">
            <v>As2</v>
          </cell>
          <cell r="H375">
            <v>104</v>
          </cell>
          <cell r="I375" t="str">
            <v>Kg/M3</v>
          </cell>
          <cell r="J375" t="str">
            <v xml:space="preserve"> (As1 : t)</v>
          </cell>
        </row>
        <row r="376">
          <cell r="A376">
            <v>9</v>
          </cell>
          <cell r="C376" t="str">
            <v>Berat jenis bahan  :</v>
          </cell>
          <cell r="D376" t="str">
            <v>- Pekerja</v>
          </cell>
          <cell r="G376" t="str">
            <v>P</v>
          </cell>
          <cell r="H376">
            <v>7</v>
          </cell>
          <cell r="I376" t="str">
            <v>orang</v>
          </cell>
        </row>
        <row r="377">
          <cell r="C377" t="str">
            <v>- Agregat</v>
          </cell>
          <cell r="D377" t="str">
            <v>- Mandor</v>
          </cell>
          <cell r="G377" t="str">
            <v>D1</v>
          </cell>
          <cell r="H377">
            <v>1.8</v>
          </cell>
          <cell r="I377" t="str">
            <v>ton / M3</v>
          </cell>
        </row>
        <row r="378">
          <cell r="C378" t="str">
            <v>- Aspal</v>
          </cell>
          <cell r="G378" t="str">
            <v>D2</v>
          </cell>
          <cell r="H378">
            <v>1.01</v>
          </cell>
          <cell r="I378" t="str">
            <v>ton / M3</v>
          </cell>
        </row>
        <row r="379">
          <cell r="C379" t="str">
            <v>- Agregat Penutup ( Pasir )</v>
          </cell>
          <cell r="G379" t="str">
            <v>D3</v>
          </cell>
          <cell r="H379">
            <v>1.67</v>
          </cell>
          <cell r="I379" t="str">
            <v>ton / M3</v>
          </cell>
        </row>
        <row r="380">
          <cell r="D380" t="str">
            <v>- Pekerja</v>
          </cell>
          <cell r="E380" t="str">
            <v>= (Tk x P) / Qt</v>
          </cell>
          <cell r="G380" t="str">
            <v>(L01)</v>
          </cell>
          <cell r="H380">
            <v>0.64659999999999995</v>
          </cell>
          <cell r="I380" t="str">
            <v>Jam</v>
          </cell>
        </row>
        <row r="381">
          <cell r="D381" t="str">
            <v>- Mandor</v>
          </cell>
          <cell r="E381" t="str">
            <v>= (Tk x M) / Qt</v>
          </cell>
          <cell r="G381" t="str">
            <v>(L03)</v>
          </cell>
          <cell r="H381">
            <v>9.2399999999999996E-2</v>
          </cell>
          <cell r="I381" t="str">
            <v>Jam</v>
          </cell>
        </row>
        <row r="382">
          <cell r="A382" t="str">
            <v>II.</v>
          </cell>
          <cell r="C382" t="str">
            <v>URUTAN KERJA</v>
          </cell>
        </row>
        <row r="383">
          <cell r="A383">
            <v>1</v>
          </cell>
          <cell r="C383" t="str">
            <v>Permukaan dasar dibersihkan dan disemprot aspal cair</v>
          </cell>
        </row>
        <row r="384">
          <cell r="C384" t="str">
            <v>bilamana diperlukan</v>
          </cell>
        </row>
        <row r="385">
          <cell r="A385">
            <v>2</v>
          </cell>
          <cell r="C385" t="str">
            <v>Agregat kasar dimuat ke dalam Dump Truck</v>
          </cell>
        </row>
        <row r="386">
          <cell r="A386" t="str">
            <v>5.</v>
          </cell>
          <cell r="C386" t="str">
            <v>menggunakan Wheel Loader (di Base Camp)</v>
          </cell>
        </row>
        <row r="387">
          <cell r="A387">
            <v>3</v>
          </cell>
          <cell r="C387" t="str">
            <v>Agregat Kasar ditebarkan (manual) sesuai tebal yang diperlukan</v>
          </cell>
        </row>
        <row r="388">
          <cell r="C388" t="str">
            <v>dan dipadatkan dengan Three Wheel Roller (6-8 ton) 6 lintasan</v>
          </cell>
        </row>
        <row r="389">
          <cell r="A389">
            <v>4</v>
          </cell>
          <cell r="C389" t="str">
            <v>Aspal disemprotkan di atas agregat kasar yang telah</v>
          </cell>
        </row>
        <row r="390">
          <cell r="C390" t="str">
            <v>diratakan menggunakan Aspal Sprayer (merata)</v>
          </cell>
        </row>
        <row r="391">
          <cell r="A391">
            <v>5</v>
          </cell>
          <cell r="C391" t="str">
            <v>Agregat Pengunci ditebarkan dan dipadatkan dengan</v>
          </cell>
        </row>
        <row r="392">
          <cell r="A392" t="str">
            <v/>
          </cell>
          <cell r="C392" t="str">
            <v>cara yang sama dengan pemadatan agregat kasar</v>
          </cell>
          <cell r="D392">
            <v>928065.15000000014</v>
          </cell>
          <cell r="E392" t="str">
            <v xml:space="preserve"> / M3.</v>
          </cell>
        </row>
        <row r="394">
          <cell r="A394" t="str">
            <v>III.</v>
          </cell>
          <cell r="C394" t="str">
            <v>PEMAKAIAN BAHAN, ALAT DAN TENAGA</v>
          </cell>
        </row>
        <row r="396">
          <cell r="A396" t="str">
            <v xml:space="preserve">   1.</v>
          </cell>
          <cell r="C396" t="str">
            <v>BAHAN</v>
          </cell>
        </row>
        <row r="397">
          <cell r="A397" t="str">
            <v>1.a.</v>
          </cell>
          <cell r="C397" t="str">
            <v>Agregat Kasar</v>
          </cell>
          <cell r="D397" t="str">
            <v>=  {(Ak/1000 : t M3) x Fh1} : D1</v>
          </cell>
          <cell r="G397" t="str">
            <v>(M03a)</v>
          </cell>
          <cell r="H397">
            <v>1.2833000000000001</v>
          </cell>
          <cell r="I397" t="str">
            <v>M3</v>
          </cell>
        </row>
        <row r="398">
          <cell r="A398" t="str">
            <v>1.b.</v>
          </cell>
          <cell r="C398" t="str">
            <v>Agregat Pengunci</v>
          </cell>
          <cell r="D398" t="str">
            <v>=  {(Ap/1000 : t M3) x Fh1} : D1</v>
          </cell>
          <cell r="G398" t="str">
            <v>(M04a)</v>
          </cell>
          <cell r="H398">
            <v>0.30559999999999998</v>
          </cell>
          <cell r="I398" t="str">
            <v>M3</v>
          </cell>
        </row>
        <row r="399">
          <cell r="A399" t="str">
            <v>1.c.</v>
          </cell>
          <cell r="C399" t="str">
            <v>Agregat Penutup</v>
          </cell>
          <cell r="D399" t="str">
            <v>=  {(Ap2/1000 : t M3) x Fh1} : D3</v>
          </cell>
          <cell r="G399" t="str">
            <v>(M01)</v>
          </cell>
          <cell r="H399">
            <v>0.18440000000000001</v>
          </cell>
          <cell r="I399" t="str">
            <v>M3</v>
          </cell>
        </row>
        <row r="400">
          <cell r="A400" t="str">
            <v>1.d.</v>
          </cell>
          <cell r="C400" t="str">
            <v>Aspal</v>
          </cell>
          <cell r="D400" t="str">
            <v>=  {(As : t M3) x Fh2}</v>
          </cell>
          <cell r="G400" t="str">
            <v>(M10)</v>
          </cell>
          <cell r="H400">
            <v>109.2</v>
          </cell>
          <cell r="I400" t="str">
            <v>Kg</v>
          </cell>
          <cell r="J400" t="str">
            <v>Analisa EI-661</v>
          </cell>
        </row>
        <row r="401">
          <cell r="A401" t="str">
            <v>JENIS PEKERJAAN</v>
          </cell>
          <cell r="D401" t="str">
            <v>:  Lapis Pen. Macadam Permukaan</v>
          </cell>
        </row>
        <row r="402">
          <cell r="A402" t="str">
            <v>2.</v>
          </cell>
          <cell r="C402" t="str">
            <v>ALAT</v>
          </cell>
          <cell r="D402" t="str">
            <v>:  M3</v>
          </cell>
          <cell r="H402" t="str">
            <v xml:space="preserve">         URAIAN ANALISA HARGA SATUAN</v>
          </cell>
        </row>
        <row r="403">
          <cell r="A403" t="str">
            <v>2.a.</v>
          </cell>
          <cell r="C403" t="str">
            <v>WHEEL LOADER</v>
          </cell>
          <cell r="G403" t="str">
            <v>(E15)</v>
          </cell>
        </row>
        <row r="404">
          <cell r="C404" t="str">
            <v>Kapasitas bucket</v>
          </cell>
          <cell r="G404" t="str">
            <v>V</v>
          </cell>
          <cell r="H404">
            <v>0</v>
          </cell>
          <cell r="I404" t="str">
            <v>M3</v>
          </cell>
        </row>
        <row r="405">
          <cell r="A405" t="str">
            <v>No.</v>
          </cell>
          <cell r="C405" t="str">
            <v>Faktor bucket</v>
          </cell>
          <cell r="G405" t="str">
            <v>Fb</v>
          </cell>
          <cell r="H405">
            <v>0</v>
          </cell>
          <cell r="I405" t="str">
            <v>-</v>
          </cell>
          <cell r="J405" t="str">
            <v>KETERANGAN</v>
          </cell>
        </row>
        <row r="406">
          <cell r="C406" t="str">
            <v>Faktor efisiensi alat</v>
          </cell>
          <cell r="G406" t="str">
            <v>Fa</v>
          </cell>
          <cell r="H406">
            <v>0</v>
          </cell>
          <cell r="I406" t="str">
            <v>-</v>
          </cell>
        </row>
        <row r="407">
          <cell r="C407" t="str">
            <v>Waktu Siklus</v>
          </cell>
          <cell r="G407" t="str">
            <v>Ts1</v>
          </cell>
        </row>
        <row r="408">
          <cell r="A408" t="str">
            <v>I.</v>
          </cell>
          <cell r="C408" t="str">
            <v>- Memuat, menuang, kembali</v>
          </cell>
          <cell r="G408" t="str">
            <v>T1</v>
          </cell>
          <cell r="H408">
            <v>0</v>
          </cell>
          <cell r="I408" t="str">
            <v>menit</v>
          </cell>
        </row>
        <row r="409">
          <cell r="A409">
            <v>1</v>
          </cell>
          <cell r="C409" t="str">
            <v>- Menunggu, dan lain lain</v>
          </cell>
          <cell r="G409" t="str">
            <v>T2</v>
          </cell>
          <cell r="H409">
            <v>0</v>
          </cell>
          <cell r="I409" t="str">
            <v>menit</v>
          </cell>
        </row>
        <row r="410">
          <cell r="A410">
            <v>2</v>
          </cell>
          <cell r="C410" t="str">
            <v>Lokasi pekerjaan : sekitar jembatan</v>
          </cell>
          <cell r="G410" t="str">
            <v>Ts1</v>
          </cell>
          <cell r="H410">
            <v>0</v>
          </cell>
          <cell r="I410" t="str">
            <v>menit</v>
          </cell>
        </row>
        <row r="411">
          <cell r="A411">
            <v>3</v>
          </cell>
          <cell r="C411" t="str">
            <v>Kondisi existing jalan : sedang</v>
          </cell>
        </row>
        <row r="412">
          <cell r="A412">
            <v>4</v>
          </cell>
          <cell r="C412" t="str">
            <v>Jarak rata-rata Base Camp ke lokasi pekerjaan</v>
          </cell>
          <cell r="G412" t="str">
            <v>L</v>
          </cell>
          <cell r="H412">
            <v>1</v>
          </cell>
          <cell r="I412" t="str">
            <v>KM</v>
          </cell>
          <cell r="J412" t="str">
            <v>Berlanjut ke halaman berikut</v>
          </cell>
        </row>
        <row r="413">
          <cell r="A413" t="str">
            <v>ITEM PEMBAYARAN NO.</v>
          </cell>
          <cell r="C413" t="str">
            <v>Tebal rata2 Lapen</v>
          </cell>
          <cell r="D413" t="str">
            <v>:  8.1 (7)</v>
          </cell>
          <cell r="G413" t="str">
            <v>t</v>
          </cell>
          <cell r="H413">
            <v>0.05</v>
          </cell>
          <cell r="I413" t="str">
            <v>M</v>
          </cell>
          <cell r="J413" t="str">
            <v>Analisa EI-817</v>
          </cell>
        </row>
        <row r="414">
          <cell r="A414" t="str">
            <v>JENIS PEKERJAAN</v>
          </cell>
          <cell r="C414" t="str">
            <v>Jam kerja efektif per-hari</v>
          </cell>
          <cell r="D414" t="str">
            <v>:  Penetrasi Macadam Utk.Pek.Minor</v>
          </cell>
          <cell r="G414" t="str">
            <v>Tk</v>
          </cell>
          <cell r="H414">
            <v>7</v>
          </cell>
          <cell r="I414" t="str">
            <v>Jam</v>
          </cell>
        </row>
        <row r="415">
          <cell r="A415" t="str">
            <v>SATUAN PEMBAYARAN</v>
          </cell>
          <cell r="C415" t="str">
            <v>Faktor kehilanganmaterial :</v>
          </cell>
          <cell r="D415" t="str">
            <v>:  M3</v>
          </cell>
          <cell r="E415" t="str">
            <v>- Agregat</v>
          </cell>
          <cell r="G415" t="str">
            <v>Fh1</v>
          </cell>
          <cell r="H415" t="str">
            <v xml:space="preserve">         URAIAN ANALISA HARGA SATUAN</v>
          </cell>
          <cell r="I415" t="str">
            <v>-</v>
          </cell>
        </row>
        <row r="416">
          <cell r="A416" t="str">
            <v/>
          </cell>
          <cell r="E416" t="str">
            <v>- Aspal</v>
          </cell>
          <cell r="G416" t="str">
            <v>Fh2</v>
          </cell>
          <cell r="H416">
            <v>1.05</v>
          </cell>
          <cell r="I416" t="str">
            <v>-</v>
          </cell>
          <cell r="J416" t="str">
            <v>Lanjutan</v>
          </cell>
        </row>
        <row r="417">
          <cell r="A417">
            <v>8</v>
          </cell>
          <cell r="C417" t="str">
            <v>Komposisi campuran Lapen (spesifikasi)  :</v>
          </cell>
        </row>
        <row r="418">
          <cell r="A418" t="str">
            <v>No.</v>
          </cell>
          <cell r="C418" t="str">
            <v>U R A I A N</v>
          </cell>
          <cell r="G418" t="str">
            <v>KODE</v>
          </cell>
          <cell r="H418" t="str">
            <v>KOEF.</v>
          </cell>
          <cell r="I418" t="str">
            <v>SATUAN</v>
          </cell>
          <cell r="J418" t="str">
            <v>KETERANGAN</v>
          </cell>
        </row>
        <row r="419">
          <cell r="C419" t="str">
            <v>- Agregat Pengunci</v>
          </cell>
          <cell r="G419" t="str">
            <v>Ap1</v>
          </cell>
          <cell r="H419">
            <v>25</v>
          </cell>
          <cell r="I419" t="str">
            <v>Kg/M2</v>
          </cell>
          <cell r="J419" t="str">
            <v xml:space="preserve"> Tabel 6.6.3.</v>
          </cell>
        </row>
        <row r="420">
          <cell r="C420" t="str">
            <v>- Agregat Penutup</v>
          </cell>
          <cell r="G420" t="str">
            <v>Ap2</v>
          </cell>
          <cell r="H420">
            <v>14</v>
          </cell>
          <cell r="I420" t="str">
            <v>Kg/M2</v>
          </cell>
          <cell r="J420" t="str">
            <v xml:space="preserve"> Tabel 6.6.3.</v>
          </cell>
        </row>
        <row r="421">
          <cell r="C421" t="str">
            <v xml:space="preserve">Kap. Prod. / jam = </v>
          </cell>
          <cell r="D421" t="str">
            <v>V x Fb x Fa x 60</v>
          </cell>
          <cell r="G421" t="str">
            <v>Q1</v>
          </cell>
          <cell r="H421">
            <v>0</v>
          </cell>
          <cell r="I421" t="str">
            <v>M3</v>
          </cell>
          <cell r="J421" t="str">
            <v/>
          </cell>
        </row>
        <row r="422">
          <cell r="D422" t="str">
            <v>Ts1</v>
          </cell>
          <cell r="G422" t="str">
            <v>As2</v>
          </cell>
          <cell r="H422">
            <v>1.5</v>
          </cell>
          <cell r="I422" t="str">
            <v>Kg/M2</v>
          </cell>
          <cell r="J422" t="str">
            <v xml:space="preserve"> Tabel 6.6.3.</v>
          </cell>
        </row>
        <row r="423">
          <cell r="G423" t="str">
            <v>As</v>
          </cell>
          <cell r="H423">
            <v>104</v>
          </cell>
          <cell r="I423" t="str">
            <v>Kg/M3</v>
          </cell>
        </row>
        <row r="424">
          <cell r="A424">
            <v>9</v>
          </cell>
          <cell r="C424" t="str">
            <v>Koefisien Alat/M3</v>
          </cell>
          <cell r="D424" t="str">
            <v xml:space="preserve"> = 1 : Q1</v>
          </cell>
          <cell r="G424" t="str">
            <v>(E15)</v>
          </cell>
          <cell r="H424">
            <v>0</v>
          </cell>
          <cell r="I424" t="str">
            <v>Jam</v>
          </cell>
        </row>
        <row r="425">
          <cell r="C425" t="str">
            <v>- Agregat</v>
          </cell>
          <cell r="G425" t="str">
            <v>D1</v>
          </cell>
          <cell r="H425">
            <v>1.8</v>
          </cell>
          <cell r="I425" t="str">
            <v>ton / M3</v>
          </cell>
        </row>
        <row r="426">
          <cell r="A426" t="str">
            <v>2.b.</v>
          </cell>
          <cell r="C426" t="str">
            <v>DUMP TRUCK (DT)</v>
          </cell>
          <cell r="G426" t="str">
            <v>(E09)</v>
          </cell>
          <cell r="H426">
            <v>1.01</v>
          </cell>
          <cell r="I426" t="str">
            <v>ton / M3</v>
          </cell>
        </row>
        <row r="427">
          <cell r="C427" t="str">
            <v>Kapasitas bak</v>
          </cell>
          <cell r="G427" t="str">
            <v>V</v>
          </cell>
          <cell r="H427">
            <v>6</v>
          </cell>
          <cell r="I427" t="str">
            <v>M3</v>
          </cell>
        </row>
        <row r="428">
          <cell r="A428" t="str">
            <v>II.</v>
          </cell>
          <cell r="C428" t="str">
            <v>Faktor Efisiensi alat</v>
          </cell>
          <cell r="G428" t="str">
            <v>Fa</v>
          </cell>
          <cell r="H428">
            <v>0.83</v>
          </cell>
          <cell r="I428" t="str">
            <v>-</v>
          </cell>
        </row>
        <row r="429">
          <cell r="A429">
            <v>1</v>
          </cell>
          <cell r="C429" t="str">
            <v>Kecepatan rata-rata bermuatan</v>
          </cell>
          <cell r="G429" t="str">
            <v>v1</v>
          </cell>
          <cell r="H429">
            <v>40</v>
          </cell>
          <cell r="I429" t="str">
            <v>KM / Jam</v>
          </cell>
        </row>
        <row r="430">
          <cell r="A430">
            <v>2</v>
          </cell>
          <cell r="C430" t="str">
            <v>Kecepatan rata-rata kosong</v>
          </cell>
          <cell r="G430" t="str">
            <v>v2</v>
          </cell>
          <cell r="H430">
            <v>50</v>
          </cell>
          <cell r="I430" t="str">
            <v>KM / Jam</v>
          </cell>
        </row>
        <row r="431">
          <cell r="C431" t="str">
            <v>menggunakan Wheel Loader (di Base Camp)</v>
          </cell>
        </row>
        <row r="432">
          <cell r="A432">
            <v>3</v>
          </cell>
          <cell r="C432" t="str">
            <v>Agregat Kasar ditebarkan (manual) sesuai tebal yang diperlukan dan</v>
          </cell>
        </row>
        <row r="433">
          <cell r="C433" t="str">
            <v>Waktu Siklus</v>
          </cell>
          <cell r="G433" t="str">
            <v>Ts2</v>
          </cell>
        </row>
        <row r="434">
          <cell r="A434">
            <v>4</v>
          </cell>
          <cell r="C434" t="str">
            <v xml:space="preserve">- Mengisi Bak </v>
          </cell>
          <cell r="G434" t="str">
            <v>T1</v>
          </cell>
          <cell r="H434">
            <v>0</v>
          </cell>
          <cell r="I434" t="str">
            <v>menit</v>
          </cell>
        </row>
        <row r="435">
          <cell r="C435" t="str">
            <v>- Angkut</v>
          </cell>
          <cell r="D435" t="str">
            <v>= (L : v1) x 60 menit</v>
          </cell>
          <cell r="G435" t="str">
            <v>T2</v>
          </cell>
          <cell r="H435">
            <v>1.5</v>
          </cell>
          <cell r="I435" t="str">
            <v>menit</v>
          </cell>
        </row>
        <row r="436">
          <cell r="A436">
            <v>5</v>
          </cell>
          <cell r="C436" t="str">
            <v>- Tunggu + dump + Putar</v>
          </cell>
          <cell r="G436" t="str">
            <v>T3</v>
          </cell>
          <cell r="H436">
            <v>15</v>
          </cell>
          <cell r="I436" t="str">
            <v>menit</v>
          </cell>
        </row>
        <row r="437">
          <cell r="A437" t="str">
            <v/>
          </cell>
          <cell r="C437" t="str">
            <v>- Kembali</v>
          </cell>
          <cell r="D437" t="str">
            <v>= (L : v2) x 60 menit</v>
          </cell>
          <cell r="G437" t="str">
            <v>T4</v>
          </cell>
          <cell r="H437">
            <v>1.2</v>
          </cell>
          <cell r="I437" t="str">
            <v>menit</v>
          </cell>
        </row>
        <row r="438">
          <cell r="G438" t="str">
            <v>Ts2</v>
          </cell>
          <cell r="H438">
            <v>17.7</v>
          </cell>
          <cell r="I438" t="str">
            <v>menit</v>
          </cell>
        </row>
        <row r="439">
          <cell r="A439" t="str">
            <v>III.</v>
          </cell>
          <cell r="C439" t="str">
            <v>PEMAKAIAN BAHAN, ALAT DAN TENAGA</v>
          </cell>
        </row>
        <row r="440">
          <cell r="A440" t="str">
            <v xml:space="preserve">   1.</v>
          </cell>
          <cell r="C440" t="str">
            <v>Kap.Prod. / jam =</v>
          </cell>
          <cell r="D440" t="str">
            <v>V x Fa x 60</v>
          </cell>
          <cell r="G440" t="str">
            <v>Q2</v>
          </cell>
          <cell r="H440">
            <v>16.881399999999999</v>
          </cell>
          <cell r="I440" t="str">
            <v>M3</v>
          </cell>
        </row>
        <row r="441">
          <cell r="A441" t="str">
            <v>1.a.</v>
          </cell>
          <cell r="C441" t="str">
            <v>Agregat Kasar</v>
          </cell>
          <cell r="D441" t="str">
            <v>Ts2</v>
          </cell>
          <cell r="G441" t="str">
            <v>(M03a)</v>
          </cell>
          <cell r="H441">
            <v>1.2833000000000001</v>
          </cell>
          <cell r="I441" t="str">
            <v>M3</v>
          </cell>
        </row>
        <row r="442">
          <cell r="A442" t="str">
            <v>1.b.</v>
          </cell>
          <cell r="C442" t="str">
            <v>Agregat Pengunci</v>
          </cell>
          <cell r="D442" t="str">
            <v>=  {(Ap1/1000 : t M3) x Fh1} : D1</v>
          </cell>
          <cell r="G442" t="str">
            <v>(M04a)</v>
          </cell>
          <cell r="H442">
            <v>0.30559999999999998</v>
          </cell>
          <cell r="I442" t="str">
            <v>M3</v>
          </cell>
        </row>
        <row r="443">
          <cell r="A443" t="str">
            <v>1.c.</v>
          </cell>
          <cell r="C443" t="str">
            <v xml:space="preserve">Koefisien Alat / M3 </v>
          </cell>
          <cell r="D443" t="str">
            <v>= 1 : Q2</v>
          </cell>
          <cell r="G443" t="str">
            <v>(E09)</v>
          </cell>
          <cell r="H443">
            <v>5.9200000000000003E-2</v>
          </cell>
          <cell r="I443" t="str">
            <v>Jam</v>
          </cell>
        </row>
        <row r="444">
          <cell r="A444" t="str">
            <v>1.d.</v>
          </cell>
          <cell r="C444" t="str">
            <v>Aspal</v>
          </cell>
          <cell r="D444" t="str">
            <v>=  {((As1+As2) : t M3) x Fh2}</v>
          </cell>
          <cell r="G444" t="str">
            <v>(M10)</v>
          </cell>
          <cell r="H444">
            <v>109.2</v>
          </cell>
          <cell r="I444" t="str">
            <v>Kg</v>
          </cell>
        </row>
        <row r="445">
          <cell r="A445" t="str">
            <v>2.c.</v>
          </cell>
          <cell r="C445" t="str">
            <v>THREE WHEEL ROLLER</v>
          </cell>
          <cell r="G445" t="str">
            <v>(E16)</v>
          </cell>
        </row>
        <row r="446">
          <cell r="A446" t="str">
            <v>2.</v>
          </cell>
          <cell r="C446" t="str">
            <v>Kecepatan rata-rata alat</v>
          </cell>
          <cell r="G446" t="str">
            <v>v</v>
          </cell>
          <cell r="H446">
            <v>2</v>
          </cell>
          <cell r="I446" t="str">
            <v>Km / Jam</v>
          </cell>
        </row>
        <row r="447">
          <cell r="A447" t="str">
            <v>2.a.</v>
          </cell>
          <cell r="C447" t="str">
            <v>Lebar efektif pemadatan</v>
          </cell>
          <cell r="G447" t="str">
            <v>b</v>
          </cell>
          <cell r="H447">
            <v>1.2</v>
          </cell>
          <cell r="I447" t="str">
            <v>M</v>
          </cell>
        </row>
        <row r="448">
          <cell r="C448" t="str">
            <v>Jumlah lintasan</v>
          </cell>
          <cell r="G448" t="str">
            <v>n</v>
          </cell>
          <cell r="H448">
            <v>8</v>
          </cell>
          <cell r="I448" t="str">
            <v>lintasan</v>
          </cell>
        </row>
        <row r="449">
          <cell r="C449" t="str">
            <v>Faktor Efisiensi alat</v>
          </cell>
          <cell r="G449" t="str">
            <v>Fa</v>
          </cell>
          <cell r="H449">
            <v>0.83</v>
          </cell>
          <cell r="I449" t="str">
            <v>-</v>
          </cell>
        </row>
        <row r="450">
          <cell r="C450" t="str">
            <v>Faktor efisiensi alat</v>
          </cell>
          <cell r="G450" t="str">
            <v>Fa</v>
          </cell>
          <cell r="H450">
            <v>0</v>
          </cell>
          <cell r="I450" t="str">
            <v>-</v>
          </cell>
        </row>
        <row r="451">
          <cell r="C451" t="str">
            <v xml:space="preserve">Kap. Prod. / jam = </v>
          </cell>
          <cell r="D451" t="str">
            <v>(v x 1000) x b x t x Fa</v>
          </cell>
          <cell r="G451" t="str">
            <v>Q3</v>
          </cell>
          <cell r="H451">
            <v>12.45</v>
          </cell>
          <cell r="I451" t="str">
            <v>M3</v>
          </cell>
        </row>
        <row r="452">
          <cell r="C452" t="str">
            <v>- Memuat, menuang, kembali</v>
          </cell>
          <cell r="D452" t="str">
            <v>n</v>
          </cell>
          <cell r="G452" t="str">
            <v>T1</v>
          </cell>
          <cell r="H452">
            <v>0</v>
          </cell>
          <cell r="I452" t="str">
            <v>menit</v>
          </cell>
        </row>
        <row r="453">
          <cell r="C453" t="str">
            <v>Koefisien Alat / M3</v>
          </cell>
          <cell r="D453" t="str">
            <v xml:space="preserve"> =  1  :  Q3</v>
          </cell>
          <cell r="G453" t="str">
            <v>(E16)</v>
          </cell>
          <cell r="H453">
            <v>8.0299999999999996E-2</v>
          </cell>
          <cell r="I453" t="str">
            <v>Jam</v>
          </cell>
        </row>
        <row r="454">
          <cell r="G454" t="str">
            <v>Ts1</v>
          </cell>
          <cell r="H454">
            <v>0</v>
          </cell>
          <cell r="I454" t="str">
            <v>menit</v>
          </cell>
        </row>
        <row r="455">
          <cell r="A455" t="str">
            <v>2.d.</v>
          </cell>
          <cell r="C455" t="str">
            <v>ASPHALT SPRAYER</v>
          </cell>
          <cell r="G455" t="str">
            <v>(E03)</v>
          </cell>
        </row>
        <row r="456">
          <cell r="C456" t="str">
            <v>Kapasitas alat</v>
          </cell>
          <cell r="G456" t="str">
            <v>V</v>
          </cell>
          <cell r="H456">
            <v>800</v>
          </cell>
          <cell r="I456" t="str">
            <v>liter</v>
          </cell>
          <cell r="J456" t="str">
            <v>Berlanjut ke halaman berikut</v>
          </cell>
        </row>
        <row r="457">
          <cell r="A457" t="str">
            <v>ITEM PEMBAYARAN NO.</v>
          </cell>
          <cell r="C457" t="str">
            <v>Faktor efisiensi alat</v>
          </cell>
          <cell r="D457" t="str">
            <v>:  6.6.1</v>
          </cell>
          <cell r="G457" t="str">
            <v>Fa</v>
          </cell>
          <cell r="H457">
            <v>0.83</v>
          </cell>
          <cell r="I457" t="str">
            <v>-</v>
          </cell>
          <cell r="J457" t="str">
            <v>Analisa EI-661</v>
          </cell>
        </row>
        <row r="458">
          <cell r="A458" t="str">
            <v>JENIS PEKERJAAN</v>
          </cell>
          <cell r="C458" t="str">
            <v>Waktu Siklus (termasuk proses pemanasan)</v>
          </cell>
          <cell r="D458" t="str">
            <v>:  Lapis Pen. Macadam Permukaan</v>
          </cell>
          <cell r="G458" t="str">
            <v>Ts3</v>
          </cell>
          <cell r="H458">
            <v>2</v>
          </cell>
          <cell r="I458" t="str">
            <v>Jam</v>
          </cell>
        </row>
        <row r="459">
          <cell r="A459" t="str">
            <v>SATUAN PEMBAYARAN</v>
          </cell>
          <cell r="D459" t="str">
            <v>:  M3</v>
          </cell>
          <cell r="H459" t="str">
            <v xml:space="preserve">         URAIAN ANALISA HARGA SATUAN</v>
          </cell>
        </row>
        <row r="460">
          <cell r="C460" t="str">
            <v>Kap. Prod. / jam =</v>
          </cell>
          <cell r="D460" t="str">
            <v>V x Fa x D2</v>
          </cell>
          <cell r="G460" t="str">
            <v>Q4</v>
          </cell>
          <cell r="H460">
            <v>3.2242000000000002</v>
          </cell>
          <cell r="I460" t="str">
            <v>M3</v>
          </cell>
          <cell r="J460" t="str">
            <v>Lanjutan</v>
          </cell>
        </row>
        <row r="461">
          <cell r="D461" t="str">
            <v>Ts3 x As2</v>
          </cell>
        </row>
        <row r="462">
          <cell r="A462" t="str">
            <v>No.</v>
          </cell>
          <cell r="C462" t="str">
            <v>Koefisien Alat / M3</v>
          </cell>
          <cell r="D462" t="str">
            <v xml:space="preserve"> =  1  :  Q4</v>
          </cell>
          <cell r="G462" t="str">
            <v>(E03)</v>
          </cell>
          <cell r="H462">
            <v>0.31019999999999998</v>
          </cell>
          <cell r="I462" t="str">
            <v>Jam</v>
          </cell>
          <cell r="J462" t="str">
            <v>KETERANGAN</v>
          </cell>
        </row>
        <row r="465">
          <cell r="C465" t="str">
            <v xml:space="preserve">Kap. Prod. / jam = </v>
          </cell>
          <cell r="D465" t="str">
            <v>V x Fb x Fa x 60</v>
          </cell>
          <cell r="G465" t="str">
            <v>Q1</v>
          </cell>
          <cell r="H465">
            <v>0</v>
          </cell>
          <cell r="I465" t="str">
            <v>M3</v>
          </cell>
          <cell r="J465" t="str">
            <v/>
          </cell>
        </row>
        <row r="466">
          <cell r="D466" t="str">
            <v>Ts1</v>
          </cell>
        </row>
        <row r="468">
          <cell r="C468" t="str">
            <v>Koefisien Alat/M3</v>
          </cell>
          <cell r="D468" t="str">
            <v xml:space="preserve"> = 1 : Q1</v>
          </cell>
          <cell r="G468" t="str">
            <v>(E15)</v>
          </cell>
          <cell r="H468">
            <v>0</v>
          </cell>
          <cell r="I468" t="str">
            <v>Jam</v>
          </cell>
        </row>
        <row r="469">
          <cell r="C469" t="str">
            <v/>
          </cell>
        </row>
        <row r="470">
          <cell r="A470" t="str">
            <v>2.b.</v>
          </cell>
          <cell r="C470" t="str">
            <v>DUMP TRUCK (DT)</v>
          </cell>
          <cell r="G470" t="str">
            <v>(E09)</v>
          </cell>
          <cell r="J470" t="str">
            <v>Berlanjut ke halaman berikut</v>
          </cell>
        </row>
        <row r="471">
          <cell r="A471" t="str">
            <v>ITEM PEMBAYARAN NO.</v>
          </cell>
          <cell r="C471" t="str">
            <v>Kapasitas bak</v>
          </cell>
          <cell r="D471" t="str">
            <v>:  8.1 (7)</v>
          </cell>
          <cell r="G471" t="str">
            <v>V</v>
          </cell>
          <cell r="H471">
            <v>6</v>
          </cell>
          <cell r="I471" t="str">
            <v>M3</v>
          </cell>
          <cell r="J471" t="str">
            <v>Analisa EI-817</v>
          </cell>
        </row>
        <row r="472">
          <cell r="A472" t="str">
            <v>JENIS PEKERJAAN</v>
          </cell>
          <cell r="C472" t="str">
            <v>Faktor Efisiensi alat</v>
          </cell>
          <cell r="D472" t="str">
            <v>:  Penetrasi Macadam Utk.Pek.Minor</v>
          </cell>
          <cell r="G472" t="str">
            <v>Fa</v>
          </cell>
          <cell r="H472">
            <v>0.83</v>
          </cell>
          <cell r="I472" t="str">
            <v>-</v>
          </cell>
        </row>
        <row r="473">
          <cell r="A473" t="str">
            <v>SATUAN PEMBAYARAN</v>
          </cell>
          <cell r="C473" t="str">
            <v>Kecepatan rata-rata bermuatan</v>
          </cell>
          <cell r="D473" t="str">
            <v>:  M3</v>
          </cell>
          <cell r="G473" t="str">
            <v>v1</v>
          </cell>
          <cell r="H473" t="str">
            <v xml:space="preserve">         URAIAN ANALISA HARGA SATUAN</v>
          </cell>
          <cell r="I473" t="str">
            <v>KM / Jam</v>
          </cell>
        </row>
        <row r="474">
          <cell r="C474" t="str">
            <v>Kecepatan rata-rata kosong</v>
          </cell>
          <cell r="G474" t="str">
            <v>v2</v>
          </cell>
          <cell r="H474">
            <v>50</v>
          </cell>
          <cell r="I474" t="str">
            <v>KM / Jam</v>
          </cell>
          <cell r="J474" t="str">
            <v>Lanjutan</v>
          </cell>
        </row>
        <row r="476">
          <cell r="A476" t="str">
            <v>No.</v>
          </cell>
          <cell r="C476" t="str">
            <v>U R A I A N</v>
          </cell>
          <cell r="G476" t="str">
            <v>KODE</v>
          </cell>
          <cell r="H476" t="str">
            <v>KOEF.</v>
          </cell>
          <cell r="I476" t="str">
            <v>SATUAN</v>
          </cell>
          <cell r="J476" t="str">
            <v>KETERANGAN</v>
          </cell>
        </row>
        <row r="477">
          <cell r="C477" t="str">
            <v>Waktu Siklus</v>
          </cell>
          <cell r="G477" t="str">
            <v>Ts2</v>
          </cell>
        </row>
        <row r="478">
          <cell r="C478" t="str">
            <v xml:space="preserve">- Mengisi Bak </v>
          </cell>
          <cell r="G478" t="str">
            <v>T1</v>
          </cell>
          <cell r="H478">
            <v>0</v>
          </cell>
          <cell r="I478" t="str">
            <v>menit</v>
          </cell>
        </row>
        <row r="479">
          <cell r="A479" t="str">
            <v>2.e.</v>
          </cell>
          <cell r="B479" t="str">
            <v/>
          </cell>
          <cell r="C479" t="str">
            <v>ALAT BANTU</v>
          </cell>
          <cell r="D479" t="str">
            <v>= (L : v1) x 60 menit</v>
          </cell>
          <cell r="G479" t="str">
            <v>T2</v>
          </cell>
          <cell r="H479">
            <v>1.5</v>
          </cell>
          <cell r="I479" t="str">
            <v>menit</v>
          </cell>
        </row>
        <row r="480">
          <cell r="C480" t="str">
            <v>diperlukan setiap  :</v>
          </cell>
          <cell r="D480">
            <v>75</v>
          </cell>
          <cell r="E480" t="str">
            <v>M3 pekerjaan</v>
          </cell>
          <cell r="G480" t="str">
            <v>T3</v>
          </cell>
          <cell r="H480">
            <v>10</v>
          </cell>
          <cell r="I480" t="str">
            <v>menit</v>
          </cell>
          <cell r="J480" t="str">
            <v>Lump Sum</v>
          </cell>
        </row>
        <row r="481">
          <cell r="C481" t="str">
            <v>- Kereta dorong</v>
          </cell>
          <cell r="D481" t="str">
            <v>=  3  buah</v>
          </cell>
          <cell r="G481" t="str">
            <v>T4</v>
          </cell>
          <cell r="H481">
            <v>1.2</v>
          </cell>
          <cell r="I481" t="str">
            <v>menit</v>
          </cell>
        </row>
        <row r="482">
          <cell r="C482" t="str">
            <v>- Sekop</v>
          </cell>
          <cell r="D482" t="str">
            <v>=  5  buah</v>
          </cell>
          <cell r="G482" t="str">
            <v>Ts2</v>
          </cell>
          <cell r="H482">
            <v>12.7</v>
          </cell>
          <cell r="I482" t="str">
            <v>menit</v>
          </cell>
        </row>
        <row r="483">
          <cell r="C483" t="str">
            <v>- Sapu</v>
          </cell>
          <cell r="D483" t="str">
            <v>=  5  buah</v>
          </cell>
        </row>
        <row r="484">
          <cell r="C484" t="str">
            <v>- Sikat</v>
          </cell>
          <cell r="D484" t="str">
            <v>=  3  buah</v>
          </cell>
          <cell r="G484" t="str">
            <v>Q2</v>
          </cell>
          <cell r="H484">
            <v>23.5276</v>
          </cell>
          <cell r="I484" t="str">
            <v>M3</v>
          </cell>
        </row>
        <row r="485">
          <cell r="C485" t="str">
            <v>- Karung</v>
          </cell>
          <cell r="D485" t="str">
            <v>=  5  buah</v>
          </cell>
        </row>
        <row r="486">
          <cell r="C486" t="str">
            <v>- Cerek Aspal</v>
          </cell>
          <cell r="D486" t="str">
            <v>=  3  buah</v>
          </cell>
        </row>
        <row r="487">
          <cell r="C487" t="str">
            <v>- Kaleng Aspal</v>
          </cell>
          <cell r="D487" t="str">
            <v>=  3  buah</v>
          </cell>
          <cell r="G487" t="str">
            <v>(E09)</v>
          </cell>
          <cell r="H487">
            <v>4.2500000000000003E-2</v>
          </cell>
          <cell r="I487" t="str">
            <v>Jam</v>
          </cell>
        </row>
        <row r="489">
          <cell r="A489" t="str">
            <v xml:space="preserve">   3.</v>
          </cell>
          <cell r="C489" t="str">
            <v>TENAGA</v>
          </cell>
          <cell r="G489" t="str">
            <v>(E16)</v>
          </cell>
        </row>
        <row r="490">
          <cell r="C490" t="str">
            <v>Produksi menentukan (Produksi Three Wheel Roller)</v>
          </cell>
          <cell r="G490" t="str">
            <v>Q1</v>
          </cell>
          <cell r="H490">
            <v>12.45</v>
          </cell>
          <cell r="I490" t="str">
            <v>M3/Jam</v>
          </cell>
        </row>
        <row r="491">
          <cell r="C491" t="str">
            <v>Produksi Lapen / hari   =   Q1 x Tk</v>
          </cell>
          <cell r="G491" t="str">
            <v>Qt</v>
          </cell>
          <cell r="H491">
            <v>87.15</v>
          </cell>
          <cell r="I491" t="str">
            <v>M3</v>
          </cell>
        </row>
        <row r="492">
          <cell r="C492" t="str">
            <v>Kebutuhan tenaga :</v>
          </cell>
          <cell r="G492" t="str">
            <v>n</v>
          </cell>
          <cell r="H492">
            <v>8</v>
          </cell>
          <cell r="I492" t="str">
            <v>lintasan</v>
          </cell>
          <cell r="J492" t="str">
            <v/>
          </cell>
        </row>
        <row r="493">
          <cell r="C493" t="str">
            <v>Faktor Efisiensi alat</v>
          </cell>
          <cell r="D493" t="str">
            <v>- Pekerja</v>
          </cell>
          <cell r="G493" t="str">
            <v>P</v>
          </cell>
          <cell r="H493">
            <v>90</v>
          </cell>
          <cell r="I493" t="str">
            <v>orang</v>
          </cell>
        </row>
        <row r="494">
          <cell r="D494" t="str">
            <v>- Mandor</v>
          </cell>
          <cell r="G494" t="str">
            <v>M</v>
          </cell>
          <cell r="H494">
            <v>2</v>
          </cell>
          <cell r="I494" t="str">
            <v>orang</v>
          </cell>
        </row>
        <row r="495">
          <cell r="C495" t="str">
            <v xml:space="preserve">Kap. Prod. / jam = </v>
          </cell>
          <cell r="D495" t="str">
            <v>(v x 1000) x b x t x Fa</v>
          </cell>
          <cell r="G495" t="str">
            <v>Q3</v>
          </cell>
          <cell r="H495">
            <v>21.787500000000001</v>
          </cell>
          <cell r="I495" t="str">
            <v>M3</v>
          </cell>
        </row>
        <row r="496">
          <cell r="C496" t="str">
            <v>Koefisien Tenaga / M3     :</v>
          </cell>
          <cell r="D496" t="str">
            <v>n</v>
          </cell>
        </row>
        <row r="497">
          <cell r="C497" t="str">
            <v>Koefisien Alat / M3</v>
          </cell>
          <cell r="D497" t="str">
            <v>- Pekerja</v>
          </cell>
          <cell r="E497" t="str">
            <v>= (Tk x P) / Qt</v>
          </cell>
          <cell r="G497" t="str">
            <v>(L01)</v>
          </cell>
          <cell r="H497">
            <v>7.2289000000000003</v>
          </cell>
          <cell r="I497" t="str">
            <v>Jam</v>
          </cell>
        </row>
        <row r="498">
          <cell r="D498" t="str">
            <v>- Mandor</v>
          </cell>
          <cell r="E498" t="str">
            <v>= (Tk x M) / Qt</v>
          </cell>
          <cell r="G498" t="str">
            <v>(L03)</v>
          </cell>
          <cell r="H498">
            <v>0.16059999999999999</v>
          </cell>
          <cell r="I498" t="str">
            <v>Jam</v>
          </cell>
        </row>
        <row r="499">
          <cell r="A499" t="str">
            <v>2.d.</v>
          </cell>
          <cell r="C499" t="str">
            <v>ASPHALT SPRAYER</v>
          </cell>
          <cell r="G499" t="str">
            <v>(E03)</v>
          </cell>
        </row>
        <row r="500">
          <cell r="C500" t="str">
            <v>Kapasitas alat</v>
          </cell>
          <cell r="G500" t="str">
            <v>V</v>
          </cell>
          <cell r="H500">
            <v>800</v>
          </cell>
          <cell r="I500" t="str">
            <v>liter</v>
          </cell>
        </row>
        <row r="501">
          <cell r="A501" t="str">
            <v>4.</v>
          </cell>
          <cell r="C501" t="str">
            <v>HARGA DASAR SATUAN UPAH, BAHAN DAN ALAT</v>
          </cell>
          <cell r="G501" t="str">
            <v>Fa</v>
          </cell>
          <cell r="H501">
            <v>0.83</v>
          </cell>
          <cell r="I501" t="str">
            <v>-</v>
          </cell>
        </row>
        <row r="502">
          <cell r="C502" t="str">
            <v>Lihat lampiran.</v>
          </cell>
          <cell r="G502" t="str">
            <v>Ts3</v>
          </cell>
          <cell r="H502">
            <v>2</v>
          </cell>
          <cell r="I502" t="str">
            <v>Jam</v>
          </cell>
        </row>
        <row r="504">
          <cell r="A504" t="str">
            <v>5.</v>
          </cell>
          <cell r="C504" t="str">
            <v>ANALISA HARGA SATUAN PEKERJAAN</v>
          </cell>
          <cell r="D504" t="str">
            <v>V x Fa x D2</v>
          </cell>
          <cell r="G504" t="str">
            <v>Q4</v>
          </cell>
          <cell r="H504">
            <v>3.2242000000000002</v>
          </cell>
          <cell r="I504" t="str">
            <v>M3</v>
          </cell>
        </row>
        <row r="505">
          <cell r="C505" t="str">
            <v>Lihat perhitungan dalam FORMULIR STANDAR UNTUK</v>
          </cell>
          <cell r="D505" t="str">
            <v>Ts3 x (As)</v>
          </cell>
        </row>
        <row r="506">
          <cell r="C506" t="str">
            <v>PEREKEMAN ANALISA MASING-MASING HARGA</v>
          </cell>
          <cell r="D506" t="str">
            <v xml:space="preserve"> =  1  :  Q4</v>
          </cell>
          <cell r="G506" t="str">
            <v>(E03)</v>
          </cell>
          <cell r="H506">
            <v>0.31019999999999998</v>
          </cell>
          <cell r="I506" t="str">
            <v>Jam</v>
          </cell>
        </row>
        <row r="507">
          <cell r="C507" t="str">
            <v>SATUAN.</v>
          </cell>
        </row>
        <row r="508">
          <cell r="C508" t="str">
            <v>Didapat Harga Satuan Pekerjaan :</v>
          </cell>
        </row>
        <row r="510">
          <cell r="C510" t="str">
            <v xml:space="preserve">Rp.  </v>
          </cell>
          <cell r="D510">
            <v>680866.65999999992</v>
          </cell>
          <cell r="E510" t="str">
            <v xml:space="preserve"> / M3.</v>
          </cell>
        </row>
        <row r="512">
          <cell r="C512" t="str">
            <v/>
          </cell>
        </row>
        <row r="513">
          <cell r="J513" t="str">
            <v>Berlanjut ke halaman berikut</v>
          </cell>
        </row>
        <row r="514">
          <cell r="A514" t="str">
            <v>ITEM PEMBAYARAN NO.</v>
          </cell>
          <cell r="D514" t="str">
            <v>:  6.6.1</v>
          </cell>
          <cell r="J514" t="str">
            <v>Analisa EI-661</v>
          </cell>
        </row>
        <row r="515">
          <cell r="A515" t="str">
            <v>JENIS PEKERJAAN</v>
          </cell>
          <cell r="D515" t="str">
            <v>:  Lapis Pen. Macadam Permukaan</v>
          </cell>
        </row>
        <row r="516">
          <cell r="A516" t="str">
            <v>SATUAN PEMBAYARAN</v>
          </cell>
          <cell r="D516" t="str">
            <v>:  M3</v>
          </cell>
          <cell r="H516" t="str">
            <v xml:space="preserve">         URAIAN ANALISA HARGA SATUAN</v>
          </cell>
        </row>
        <row r="517">
          <cell r="J517" t="str">
            <v>Lanjutan</v>
          </cell>
        </row>
        <row r="519">
          <cell r="A519" t="str">
            <v>No.</v>
          </cell>
          <cell r="C519" t="str">
            <v>U R A I A N</v>
          </cell>
          <cell r="G519" t="str">
            <v>KODE</v>
          </cell>
          <cell r="H519" t="str">
            <v>KOEF.</v>
          </cell>
          <cell r="I519" t="str">
            <v>SATUAN</v>
          </cell>
          <cell r="J519" t="str">
            <v>KETERANGAN</v>
          </cell>
        </row>
        <row r="522">
          <cell r="A522" t="str">
            <v>2.e.</v>
          </cell>
          <cell r="B522" t="str">
            <v/>
          </cell>
          <cell r="C522" t="str">
            <v>ALAT BANTU</v>
          </cell>
        </row>
        <row r="523">
          <cell r="C523" t="str">
            <v>diperlukan setiap  :</v>
          </cell>
          <cell r="D523">
            <v>75</v>
          </cell>
          <cell r="E523" t="str">
            <v>M3 pekerjaan</v>
          </cell>
          <cell r="J523" t="str">
            <v>Lump Sum</v>
          </cell>
        </row>
        <row r="524">
          <cell r="C524" t="str">
            <v>- Kereta dorong</v>
          </cell>
          <cell r="D524" t="str">
            <v>=  3  buah</v>
          </cell>
        </row>
        <row r="525">
          <cell r="C525" t="str">
            <v>- Sekop</v>
          </cell>
          <cell r="D525" t="str">
            <v>=  5  buah</v>
          </cell>
        </row>
        <row r="526">
          <cell r="C526" t="str">
            <v>- Sapu</v>
          </cell>
          <cell r="D526" t="str">
            <v>=  5  buah</v>
          </cell>
        </row>
        <row r="527">
          <cell r="C527" t="str">
            <v>- Sikat</v>
          </cell>
          <cell r="D527" t="str">
            <v>=  3  buah</v>
          </cell>
        </row>
        <row r="528">
          <cell r="C528" t="str">
            <v>- Karung</v>
          </cell>
          <cell r="D528" t="str">
            <v>=  5  buah</v>
          </cell>
        </row>
        <row r="529">
          <cell r="A529" t="str">
            <v>ITEM PEMBAYARAN NO.</v>
          </cell>
          <cell r="C529" t="str">
            <v>- Cerek Aspal</v>
          </cell>
          <cell r="D529" t="str">
            <v>:  8.2(1)</v>
          </cell>
          <cell r="J529" t="str">
            <v>Analisa EI-8.21</v>
          </cell>
        </row>
        <row r="530">
          <cell r="A530" t="str">
            <v>JENIS PEKERJAAN</v>
          </cell>
          <cell r="C530" t="str">
            <v>- Kaleng Aspal</v>
          </cell>
          <cell r="D530" t="str">
            <v>:  Galian Utk.Bahu &amp; Pek. Lainnya ,Rutin</v>
          </cell>
        </row>
        <row r="531">
          <cell r="A531" t="str">
            <v>SATUAN PEMBAYARAN</v>
          </cell>
          <cell r="D531" t="str">
            <v>:  M3</v>
          </cell>
          <cell r="H531" t="str">
            <v xml:space="preserve">         URAIAN ANALISA HARGA SATUAN</v>
          </cell>
        </row>
        <row r="532">
          <cell r="A532" t="str">
            <v xml:space="preserve">   3.</v>
          </cell>
          <cell r="C532" t="str">
            <v>TENAGA</v>
          </cell>
        </row>
        <row r="533">
          <cell r="C533" t="str">
            <v>Produksi menentukan (Produksi Thrre Wheel Roller)</v>
          </cell>
          <cell r="G533" t="str">
            <v>Q1</v>
          </cell>
          <cell r="H533">
            <v>21.787500000000001</v>
          </cell>
          <cell r="I533" t="str">
            <v>M3/Jam</v>
          </cell>
        </row>
        <row r="534">
          <cell r="A534" t="str">
            <v>No.</v>
          </cell>
          <cell r="C534" t="str">
            <v>U R A I A N</v>
          </cell>
          <cell r="G534" t="str">
            <v>KODE</v>
          </cell>
          <cell r="H534" t="str">
            <v>KOEF.</v>
          </cell>
          <cell r="I534" t="str">
            <v>SATUAN</v>
          </cell>
          <cell r="J534" t="str">
            <v>KETERANGAN</v>
          </cell>
        </row>
        <row r="535">
          <cell r="C535" t="str">
            <v>Kebutuhan tenaga :</v>
          </cell>
        </row>
        <row r="536">
          <cell r="D536" t="str">
            <v>- Pekerja</v>
          </cell>
          <cell r="G536" t="str">
            <v>P</v>
          </cell>
          <cell r="H536">
            <v>100</v>
          </cell>
          <cell r="I536" t="str">
            <v>orang</v>
          </cell>
        </row>
        <row r="537">
          <cell r="A537" t="str">
            <v>I.</v>
          </cell>
          <cell r="C537" t="str">
            <v>ASUMSI</v>
          </cell>
          <cell r="D537" t="str">
            <v>- Mandor</v>
          </cell>
          <cell r="G537" t="str">
            <v>M</v>
          </cell>
          <cell r="H537">
            <v>3</v>
          </cell>
          <cell r="I537" t="str">
            <v>orang</v>
          </cell>
        </row>
        <row r="538">
          <cell r="A538">
            <v>1</v>
          </cell>
          <cell r="C538" t="str">
            <v>Menggunakan alat berat (cara mekanik)</v>
          </cell>
        </row>
        <row r="539">
          <cell r="A539">
            <v>2</v>
          </cell>
          <cell r="C539" t="str">
            <v>Lokasi pekerjaan : sepanjang jalan</v>
          </cell>
        </row>
        <row r="540">
          <cell r="A540">
            <v>3</v>
          </cell>
          <cell r="C540" t="str">
            <v>Kondisi Jalan   :  sedang / baik</v>
          </cell>
          <cell r="D540" t="str">
            <v>- Pekerja</v>
          </cell>
          <cell r="E540" t="str">
            <v>= (Tk x P) / Qt</v>
          </cell>
          <cell r="G540" t="str">
            <v>(L01)</v>
          </cell>
          <cell r="H540">
            <v>4.5898000000000003</v>
          </cell>
          <cell r="I540" t="str">
            <v>Jam</v>
          </cell>
        </row>
        <row r="541">
          <cell r="A541">
            <v>4</v>
          </cell>
          <cell r="C541" t="str">
            <v>Jam kerja efektif per-hari</v>
          </cell>
          <cell r="D541" t="str">
            <v>- Mandor</v>
          </cell>
          <cell r="E541" t="str">
            <v>= (Tk x M) / Qt</v>
          </cell>
          <cell r="G541" t="str">
            <v>Tk</v>
          </cell>
          <cell r="H541">
            <v>7</v>
          </cell>
          <cell r="I541" t="str">
            <v>Jam</v>
          </cell>
        </row>
        <row r="542">
          <cell r="A542">
            <v>5</v>
          </cell>
          <cell r="C542" t="str">
            <v>Faktor pengembangan bahan</v>
          </cell>
          <cell r="G542" t="str">
            <v>Fk</v>
          </cell>
          <cell r="H542">
            <v>1.2</v>
          </cell>
          <cell r="I542" t="str">
            <v>-</v>
          </cell>
        </row>
        <row r="544">
          <cell r="A544" t="str">
            <v>4.</v>
          </cell>
          <cell r="C544" t="str">
            <v>HARGA DASAR SATUAN UPAH, BAHAN DAN ALAT</v>
          </cell>
        </row>
        <row r="545">
          <cell r="A545" t="str">
            <v>II.</v>
          </cell>
          <cell r="C545" t="str">
            <v>URUTAN KERJA</v>
          </cell>
        </row>
        <row r="546">
          <cell r="A546">
            <v>1</v>
          </cell>
          <cell r="C546" t="str">
            <v>Tanah yang dipotong umumnya berada disisi jalan</v>
          </cell>
        </row>
        <row r="547">
          <cell r="A547">
            <v>2</v>
          </cell>
          <cell r="C547" t="str">
            <v>Penggalian dilakukan dengan menggunakan pekerja</v>
          </cell>
        </row>
        <row r="548">
          <cell r="A548">
            <v>3</v>
          </cell>
          <cell r="C548" t="str">
            <v>Selanjutnya pekerja memuat material hasil</v>
          </cell>
        </row>
        <row r="549">
          <cell r="C549" t="str">
            <v>galian kedalam Dump Truck</v>
          </cell>
        </row>
        <row r="550">
          <cell r="A550">
            <v>4</v>
          </cell>
          <cell r="C550" t="str">
            <v>Dump Truck membuang material hasil galian keluar</v>
          </cell>
        </row>
        <row r="551">
          <cell r="C551" t="str">
            <v>lokasi jalan sejauh</v>
          </cell>
          <cell r="G551" t="str">
            <v>L</v>
          </cell>
          <cell r="H551">
            <v>1</v>
          </cell>
          <cell r="I551" t="str">
            <v>Km</v>
          </cell>
        </row>
        <row r="553">
          <cell r="C553" t="str">
            <v xml:space="preserve">Rp.  </v>
          </cell>
          <cell r="D553">
            <v>668977.63984267134</v>
          </cell>
          <cell r="E553" t="str">
            <v xml:space="preserve"> / M3.</v>
          </cell>
        </row>
        <row r="554">
          <cell r="A554" t="str">
            <v>III.</v>
          </cell>
          <cell r="C554" t="str">
            <v>PEMAKAIAN BAHAN, ALAT DAN TENAGA</v>
          </cell>
        </row>
        <row r="556">
          <cell r="A556" t="str">
            <v xml:space="preserve">   1.</v>
          </cell>
          <cell r="C556" t="str">
            <v>BAHAN</v>
          </cell>
        </row>
        <row r="557">
          <cell r="C557" t="str">
            <v>Tidak ada bahan yang diperlukan</v>
          </cell>
        </row>
        <row r="559">
          <cell r="A559" t="str">
            <v xml:space="preserve">   2.</v>
          </cell>
          <cell r="C559" t="str">
            <v>ALAT</v>
          </cell>
        </row>
        <row r="560">
          <cell r="A560" t="str">
            <v xml:space="preserve">   2.a.</v>
          </cell>
          <cell r="C560" t="str">
            <v>EXCAVATOR</v>
          </cell>
          <cell r="G560" t="str">
            <v>(E10)</v>
          </cell>
        </row>
        <row r="561">
          <cell r="C561" t="str">
            <v>Kapasitas Bucket</v>
          </cell>
          <cell r="G561" t="str">
            <v>V</v>
          </cell>
          <cell r="H561">
            <v>0.5</v>
          </cell>
          <cell r="I561" t="str">
            <v>M3</v>
          </cell>
        </row>
        <row r="562">
          <cell r="C562" t="str">
            <v>Faktor Bucket</v>
          </cell>
          <cell r="G562" t="str">
            <v>Fb</v>
          </cell>
          <cell r="H562">
            <v>0.9</v>
          </cell>
          <cell r="I562" t="str">
            <v>-</v>
          </cell>
        </row>
        <row r="563">
          <cell r="C563" t="str">
            <v>Faktor  Efisiensi alat</v>
          </cell>
          <cell r="G563" t="str">
            <v>Fa</v>
          </cell>
          <cell r="H563">
            <v>0.83</v>
          </cell>
          <cell r="I563" t="str">
            <v>-</v>
          </cell>
        </row>
        <row r="564">
          <cell r="C564" t="str">
            <v>Faktor  material</v>
          </cell>
          <cell r="G564" t="str">
            <v>Fm</v>
          </cell>
          <cell r="H564" t="str">
            <v xml:space="preserve">  -  </v>
          </cell>
          <cell r="I564" t="str">
            <v>-</v>
          </cell>
        </row>
        <row r="565">
          <cell r="C565" t="str">
            <v>Waktu siklus</v>
          </cell>
          <cell r="G565" t="str">
            <v>Ts1</v>
          </cell>
          <cell r="I565" t="str">
            <v>menit</v>
          </cell>
        </row>
        <row r="566">
          <cell r="C566" t="str">
            <v>- Menggali / memuat</v>
          </cell>
          <cell r="G566" t="str">
            <v>T1</v>
          </cell>
          <cell r="H566">
            <v>0.35</v>
          </cell>
          <cell r="I566" t="str">
            <v>menit</v>
          </cell>
        </row>
        <row r="567">
          <cell r="C567" t="str">
            <v>- Lain-lain</v>
          </cell>
          <cell r="G567" t="str">
            <v>T2</v>
          </cell>
          <cell r="H567">
            <v>0.35</v>
          </cell>
          <cell r="I567" t="str">
            <v>menit</v>
          </cell>
        </row>
        <row r="568">
          <cell r="G568" t="str">
            <v>Ts1</v>
          </cell>
          <cell r="H568">
            <v>0.7</v>
          </cell>
          <cell r="I568" t="str">
            <v>menit</v>
          </cell>
        </row>
        <row r="570">
          <cell r="C570" t="str">
            <v>Kap. Prod. / jam =</v>
          </cell>
          <cell r="D570" t="str">
            <v>V  x Fb x Fa x Fm x 60</v>
          </cell>
          <cell r="G570" t="str">
            <v>Q1</v>
          </cell>
          <cell r="H570">
            <v>26.678599999999999</v>
          </cell>
          <cell r="I570" t="str">
            <v>M3  / jam</v>
          </cell>
        </row>
        <row r="571">
          <cell r="A571" t="str">
            <v>ITEM PEMBAYARAN NO.</v>
          </cell>
          <cell r="D571" t="str">
            <v>Ts x Fk</v>
          </cell>
          <cell r="J571" t="str">
            <v>Analisa EI-662</v>
          </cell>
        </row>
        <row r="572">
          <cell r="A572" t="str">
            <v>JENIS PEKERJAAN</v>
          </cell>
          <cell r="D572" t="str">
            <v>:  Lapis Pen. Macadam Perata</v>
          </cell>
        </row>
        <row r="573">
          <cell r="A573" t="str">
            <v>SATUAN PEMBAYARAN</v>
          </cell>
          <cell r="C573" t="str">
            <v>Koefisien Alat / M3</v>
          </cell>
          <cell r="D573" t="str">
            <v xml:space="preserve"> =  1  :  Q1</v>
          </cell>
          <cell r="G573" t="str">
            <v>(E10)</v>
          </cell>
          <cell r="H573">
            <v>3.7499999999999999E-2</v>
          </cell>
          <cell r="I573" t="str">
            <v>Jam</v>
          </cell>
        </row>
        <row r="575">
          <cell r="A575" t="str">
            <v xml:space="preserve">   2.b.</v>
          </cell>
          <cell r="C575" t="str">
            <v>DUMP TRUCK</v>
          </cell>
          <cell r="G575" t="str">
            <v>(E08)</v>
          </cell>
        </row>
        <row r="576">
          <cell r="A576" t="str">
            <v>No.</v>
          </cell>
          <cell r="C576" t="str">
            <v>Kaasitas bak</v>
          </cell>
          <cell r="G576" t="str">
            <v>V</v>
          </cell>
          <cell r="H576">
            <v>4</v>
          </cell>
          <cell r="I576" t="str">
            <v>M3</v>
          </cell>
          <cell r="J576" t="str">
            <v>KETERANGAN</v>
          </cell>
        </row>
        <row r="577">
          <cell r="C577" t="str">
            <v>Faktor  efisiensi alat</v>
          </cell>
          <cell r="G577" t="str">
            <v>Fa</v>
          </cell>
          <cell r="H577">
            <v>0.83</v>
          </cell>
        </row>
        <row r="578">
          <cell r="C578" t="str">
            <v>Kecepatan rata-rata bermuatan</v>
          </cell>
          <cell r="G578" t="str">
            <v>v1</v>
          </cell>
          <cell r="H578">
            <v>40</v>
          </cell>
          <cell r="I578" t="str">
            <v>Km/Jam</v>
          </cell>
        </row>
        <row r="579">
          <cell r="A579" t="str">
            <v>I.</v>
          </cell>
          <cell r="C579" t="str">
            <v>Kecepatan rata-rata kosong</v>
          </cell>
          <cell r="G579" t="str">
            <v>v2</v>
          </cell>
          <cell r="H579">
            <v>60</v>
          </cell>
          <cell r="I579" t="str">
            <v>Km/Jam</v>
          </cell>
        </row>
        <row r="580">
          <cell r="A580">
            <v>1</v>
          </cell>
          <cell r="C580" t="str">
            <v>Waktu  siklus</v>
          </cell>
          <cell r="G580" t="str">
            <v>Ts2</v>
          </cell>
          <cell r="I580" t="str">
            <v>menit</v>
          </cell>
        </row>
        <row r="581">
          <cell r="A581">
            <v>2</v>
          </cell>
          <cell r="C581" t="str">
            <v>- Waktu tempuh isi</v>
          </cell>
          <cell r="E581" t="str">
            <v>=   (L  :  v1)  x  60</v>
          </cell>
          <cell r="G581" t="str">
            <v>T1</v>
          </cell>
          <cell r="H581">
            <v>1.5</v>
          </cell>
          <cell r="I581" t="str">
            <v>menit</v>
          </cell>
        </row>
        <row r="582">
          <cell r="A582">
            <v>3</v>
          </cell>
          <cell r="C582" t="str">
            <v>- Waktu tempuh kosong</v>
          </cell>
          <cell r="E582" t="str">
            <v>=   (L  :  v2)  x  60</v>
          </cell>
          <cell r="G582" t="str">
            <v>T2</v>
          </cell>
          <cell r="H582">
            <v>1</v>
          </cell>
          <cell r="I582" t="str">
            <v>menit</v>
          </cell>
        </row>
        <row r="583">
          <cell r="A583">
            <v>4</v>
          </cell>
          <cell r="C583" t="str">
            <v>- Muat</v>
          </cell>
          <cell r="E583" t="str">
            <v>=   (v  : Q1)  x  60</v>
          </cell>
          <cell r="G583" t="str">
            <v>T3</v>
          </cell>
          <cell r="H583">
            <v>8.9960000000000004</v>
          </cell>
          <cell r="I583" t="str">
            <v>menit</v>
          </cell>
        </row>
        <row r="584">
          <cell r="A584">
            <v>5</v>
          </cell>
          <cell r="C584" t="str">
            <v>- Lain-lain</v>
          </cell>
          <cell r="G584" t="str">
            <v>T4</v>
          </cell>
          <cell r="H584">
            <v>0.5</v>
          </cell>
          <cell r="I584" t="str">
            <v>menit</v>
          </cell>
        </row>
        <row r="585">
          <cell r="A585">
            <v>6</v>
          </cell>
          <cell r="C585" t="str">
            <v>Jam kerja efektif per-hari</v>
          </cell>
          <cell r="G585" t="str">
            <v>Ts2</v>
          </cell>
          <cell r="H585">
            <v>11.996</v>
          </cell>
          <cell r="I585" t="str">
            <v>menit</v>
          </cell>
        </row>
        <row r="586">
          <cell r="A586">
            <v>7</v>
          </cell>
          <cell r="C586" t="str">
            <v>Faktor kehilanganmaterial :</v>
          </cell>
          <cell r="E586" t="str">
            <v>- Agregat</v>
          </cell>
          <cell r="G586" t="str">
            <v>Fh1</v>
          </cell>
          <cell r="H586">
            <v>1.1000000000000001</v>
          </cell>
          <cell r="I586" t="str">
            <v>-</v>
          </cell>
          <cell r="J586" t="str">
            <v>Berlanjut ke halaman berikut</v>
          </cell>
        </row>
        <row r="587">
          <cell r="A587" t="str">
            <v>ITEM PEMBAYARAN NO.</v>
          </cell>
          <cell r="D587" t="str">
            <v>:  8.2(1)</v>
          </cell>
          <cell r="E587" t="str">
            <v>- Aspal</v>
          </cell>
          <cell r="G587" t="str">
            <v>Fh2</v>
          </cell>
          <cell r="H587">
            <v>1.05</v>
          </cell>
          <cell r="I587" t="str">
            <v>-</v>
          </cell>
          <cell r="J587" t="str">
            <v>Analisa EI-8.21</v>
          </cell>
        </row>
        <row r="588">
          <cell r="A588" t="str">
            <v>JENIS PEKERJAAN</v>
          </cell>
          <cell r="C588" t="str">
            <v>Komposisi campuran Lapen (spesifikasi)  :</v>
          </cell>
          <cell r="D588" t="str">
            <v>:  Galian Utk.Bahu &amp; Pek. Lainnya ,Rutin</v>
          </cell>
        </row>
        <row r="589">
          <cell r="A589" t="str">
            <v>SATUAN PEMBAYARAN</v>
          </cell>
          <cell r="C589" t="str">
            <v>- Agregat Pokok</v>
          </cell>
          <cell r="D589" t="str">
            <v>:  M3</v>
          </cell>
          <cell r="G589" t="str">
            <v>Ak</v>
          </cell>
          <cell r="H589" t="str">
            <v xml:space="preserve">         URAIAN ANALISA HARGA SATUAN</v>
          </cell>
          <cell r="I589" t="str">
            <v>Kg/M2</v>
          </cell>
          <cell r="J589" t="str">
            <v xml:space="preserve"> Tabel 6.6.4.</v>
          </cell>
        </row>
        <row r="590">
          <cell r="C590" t="str">
            <v>- Agregat Pengunci</v>
          </cell>
          <cell r="G590" t="str">
            <v>Ap1</v>
          </cell>
          <cell r="H590">
            <v>25</v>
          </cell>
          <cell r="I590" t="str">
            <v>Kg/M2</v>
          </cell>
          <cell r="J590" t="str">
            <v>Lanjutan</v>
          </cell>
        </row>
        <row r="592">
          <cell r="A592" t="str">
            <v>No.</v>
          </cell>
          <cell r="C592" t="str">
            <v>U R A I A N</v>
          </cell>
          <cell r="D592" t="str">
            <v>- Paska Agregat Pokok</v>
          </cell>
          <cell r="G592" t="str">
            <v>KODE</v>
          </cell>
          <cell r="H592" t="str">
            <v>KOEF.</v>
          </cell>
          <cell r="I592" t="str">
            <v>SATUAN</v>
          </cell>
          <cell r="J592" t="str">
            <v>KETERANGAN</v>
          </cell>
        </row>
        <row r="593">
          <cell r="G593" t="str">
            <v>As</v>
          </cell>
          <cell r="H593">
            <v>110</v>
          </cell>
          <cell r="I593" t="str">
            <v>Kg/M3</v>
          </cell>
        </row>
        <row r="595">
          <cell r="A595">
            <v>9</v>
          </cell>
          <cell r="C595" t="str">
            <v>Kapasitas Produksi / Jam   =</v>
          </cell>
          <cell r="E595" t="str">
            <v>V x Fa x 60</v>
          </cell>
          <cell r="G595" t="str">
            <v>Q2</v>
          </cell>
          <cell r="H595">
            <v>13.837899999999999</v>
          </cell>
          <cell r="I595" t="str">
            <v xml:space="preserve">M3 / Jam </v>
          </cell>
        </row>
        <row r="596">
          <cell r="C596" t="str">
            <v>- Agregat</v>
          </cell>
          <cell r="E596" t="str">
            <v xml:space="preserve">    Fk x Ts</v>
          </cell>
          <cell r="G596" t="str">
            <v>D1</v>
          </cell>
          <cell r="H596">
            <v>2</v>
          </cell>
          <cell r="I596" t="str">
            <v>ton / M3</v>
          </cell>
        </row>
        <row r="597">
          <cell r="C597" t="str">
            <v>- Aspal</v>
          </cell>
          <cell r="G597" t="str">
            <v>D2</v>
          </cell>
          <cell r="H597">
            <v>1.01</v>
          </cell>
          <cell r="I597" t="str">
            <v>ton / M3</v>
          </cell>
        </row>
        <row r="599">
          <cell r="A599" t="str">
            <v>II.</v>
          </cell>
          <cell r="C599" t="str">
            <v>Koefisien Alat / M3</v>
          </cell>
          <cell r="D599" t="str">
            <v xml:space="preserve"> =  1  :  Q2</v>
          </cell>
          <cell r="G599" t="str">
            <v>(E08)</v>
          </cell>
          <cell r="H599">
            <v>7.2300000000000003E-2</v>
          </cell>
          <cell r="I599" t="str">
            <v>jam</v>
          </cell>
        </row>
        <row r="600">
          <cell r="A600">
            <v>1</v>
          </cell>
          <cell r="C600" t="str">
            <v>Permukaan dasar dibersihkan dan disemprot aspal cair</v>
          </cell>
        </row>
        <row r="601">
          <cell r="A601">
            <v>2</v>
          </cell>
          <cell r="C601" t="str">
            <v>Agregat kasar dimuat ke dalam Dump Truck menggunakan Wheel</v>
          </cell>
        </row>
        <row r="602">
          <cell r="A602" t="str">
            <v>2.c.</v>
          </cell>
          <cell r="C602" t="str">
            <v>ALAT  BANTU</v>
          </cell>
        </row>
        <row r="603">
          <cell r="A603">
            <v>3</v>
          </cell>
          <cell r="C603" t="str">
            <v>Diperlukan alat-alat bantu kecil</v>
          </cell>
          <cell r="J603" t="str">
            <v>Lump Sum</v>
          </cell>
        </row>
        <row r="604">
          <cell r="C604" t="str">
            <v>- Sekop</v>
          </cell>
        </row>
        <row r="605">
          <cell r="A605">
            <v>4</v>
          </cell>
          <cell r="C605" t="str">
            <v>- Keranjang</v>
          </cell>
        </row>
        <row r="606">
          <cell r="C606" t="str">
            <v>diratakan menggunakan Aspal Sprayer (merata)</v>
          </cell>
        </row>
        <row r="607">
          <cell r="A607" t="str">
            <v xml:space="preserve">   3.</v>
          </cell>
          <cell r="C607" t="str">
            <v>TENAGA</v>
          </cell>
        </row>
        <row r="608">
          <cell r="A608" t="str">
            <v/>
          </cell>
          <cell r="C608" t="str">
            <v>Produksi menentukan , Excavator</v>
          </cell>
          <cell r="G608" t="str">
            <v>Q1</v>
          </cell>
          <cell r="H608">
            <v>26.678599999999999</v>
          </cell>
          <cell r="I608" t="str">
            <v>M3  / jam</v>
          </cell>
        </row>
        <row r="609">
          <cell r="C609" t="str">
            <v xml:space="preserve">Produksi Galian / hari  =  </v>
          </cell>
          <cell r="G609" t="str">
            <v>Qt</v>
          </cell>
          <cell r="H609">
            <v>186.75020000000001</v>
          </cell>
          <cell r="I609" t="str">
            <v>M3</v>
          </cell>
        </row>
        <row r="610">
          <cell r="A610" t="str">
            <v>III.</v>
          </cell>
          <cell r="C610" t="str">
            <v>Kebutuhan tenaga :</v>
          </cell>
        </row>
        <row r="611">
          <cell r="D611" t="str">
            <v>- Pekerja</v>
          </cell>
          <cell r="G611" t="str">
            <v>P</v>
          </cell>
          <cell r="H611">
            <v>3</v>
          </cell>
          <cell r="I611" t="str">
            <v>orang</v>
          </cell>
        </row>
        <row r="612">
          <cell r="A612" t="str">
            <v xml:space="preserve">   1.</v>
          </cell>
          <cell r="C612" t="str">
            <v>BAHAN</v>
          </cell>
          <cell r="D612" t="str">
            <v>- Mandor</v>
          </cell>
          <cell r="G612" t="str">
            <v>M</v>
          </cell>
          <cell r="H612">
            <v>1</v>
          </cell>
          <cell r="I612" t="str">
            <v>orang</v>
          </cell>
        </row>
        <row r="613">
          <cell r="A613" t="str">
            <v>1.a.</v>
          </cell>
          <cell r="C613" t="str">
            <v>Agregat Kasar</v>
          </cell>
          <cell r="D613" t="str">
            <v>=  {(Ak/1000 : t M3) x Fh1} : D1</v>
          </cell>
          <cell r="G613" t="str">
            <v>(M03a)</v>
          </cell>
          <cell r="H613">
            <v>1.5674999999999999</v>
          </cell>
          <cell r="I613" t="str">
            <v>M3</v>
          </cell>
        </row>
        <row r="614">
          <cell r="A614" t="str">
            <v>1.b.</v>
          </cell>
          <cell r="C614" t="str">
            <v>Koefisien tenaga / liter   :</v>
          </cell>
          <cell r="D614" t="str">
            <v>=  {(Ap1/1000 : t M3) x Fh1} : D1</v>
          </cell>
          <cell r="G614" t="str">
            <v>(M04a)</v>
          </cell>
          <cell r="H614">
            <v>0.34379999999999999</v>
          </cell>
          <cell r="I614" t="str">
            <v>M3</v>
          </cell>
        </row>
        <row r="615">
          <cell r="A615" t="str">
            <v>1.c.</v>
          </cell>
          <cell r="C615" t="str">
            <v>Aspal</v>
          </cell>
          <cell r="D615" t="str">
            <v>- Pekerja</v>
          </cell>
          <cell r="E615" t="str">
            <v>= (Tk x P) : Qt</v>
          </cell>
          <cell r="G615" t="str">
            <v>(L01)</v>
          </cell>
          <cell r="H615">
            <v>0.1124</v>
          </cell>
          <cell r="I615" t="str">
            <v>jam</v>
          </cell>
        </row>
        <row r="616">
          <cell r="D616" t="str">
            <v>- Mandor</v>
          </cell>
          <cell r="E616" t="str">
            <v>= (Tk x M) : Qt</v>
          </cell>
          <cell r="G616" t="str">
            <v>(L03)</v>
          </cell>
          <cell r="H616">
            <v>3.7499999999999999E-2</v>
          </cell>
          <cell r="I616" t="str">
            <v>jam</v>
          </cell>
        </row>
        <row r="617">
          <cell r="A617" t="str">
            <v>2.</v>
          </cell>
          <cell r="C617" t="str">
            <v>ALAT</v>
          </cell>
        </row>
        <row r="618">
          <cell r="A618" t="str">
            <v>4.</v>
          </cell>
          <cell r="C618" t="str">
            <v>HARGA DASAR SATUAN UPAH, BAHAN DAN ALAT</v>
          </cell>
          <cell r="G618" t="str">
            <v>(E15)</v>
          </cell>
        </row>
        <row r="619">
          <cell r="C619" t="str">
            <v>Lihat lampiran.</v>
          </cell>
          <cell r="G619" t="str">
            <v>V</v>
          </cell>
          <cell r="H619">
            <v>0</v>
          </cell>
          <cell r="I619" t="str">
            <v>M3</v>
          </cell>
        </row>
        <row r="620">
          <cell r="C620" t="str">
            <v>Faktor bucket</v>
          </cell>
          <cell r="G620" t="str">
            <v>Fb</v>
          </cell>
          <cell r="H620">
            <v>0</v>
          </cell>
          <cell r="I620" t="str">
            <v>-</v>
          </cell>
        </row>
        <row r="621">
          <cell r="A621" t="str">
            <v>5.</v>
          </cell>
          <cell r="C621" t="str">
            <v>ANALISA HARGA SATUAN PEKERJAAN</v>
          </cell>
          <cell r="G621" t="str">
            <v>Fa</v>
          </cell>
          <cell r="H621">
            <v>0</v>
          </cell>
          <cell r="I621" t="str">
            <v>-</v>
          </cell>
        </row>
        <row r="622">
          <cell r="C622" t="str">
            <v>Lihat perhitungan dalam FORMULIR STANDAR UNTUK</v>
          </cell>
          <cell r="G622" t="str">
            <v>Ts1</v>
          </cell>
        </row>
        <row r="623">
          <cell r="C623" t="str">
            <v>PEREKEMAN ANALISA MASING-MASING HARGA</v>
          </cell>
          <cell r="G623" t="str">
            <v>T1</v>
          </cell>
          <cell r="H623">
            <v>0</v>
          </cell>
          <cell r="I623" t="str">
            <v>menit</v>
          </cell>
        </row>
        <row r="624">
          <cell r="C624" t="str">
            <v>SATUAN.</v>
          </cell>
          <cell r="G624" t="str">
            <v>T2</v>
          </cell>
          <cell r="H624">
            <v>0</v>
          </cell>
          <cell r="I624" t="str">
            <v>menit</v>
          </cell>
        </row>
        <row r="625">
          <cell r="C625" t="str">
            <v>Didapat Harga Satuan Pekerjaan :</v>
          </cell>
          <cell r="G625" t="str">
            <v>Ts1</v>
          </cell>
          <cell r="H625">
            <v>0</v>
          </cell>
          <cell r="I625" t="str">
            <v>menit</v>
          </cell>
        </row>
        <row r="627">
          <cell r="C627" t="str">
            <v xml:space="preserve">Rp.  </v>
          </cell>
          <cell r="D627">
            <v>17465.060000000001</v>
          </cell>
          <cell r="E627" t="str">
            <v xml:space="preserve"> / M3</v>
          </cell>
          <cell r="J627" t="str">
            <v>Berlanjut ke halaman berikut</v>
          </cell>
        </row>
        <row r="628">
          <cell r="A628" t="str">
            <v>ITEM PEMBAYARAN NO.</v>
          </cell>
          <cell r="D628" t="str">
            <v>:  6.6.2</v>
          </cell>
          <cell r="J628" t="str">
            <v>Analisa EI-662</v>
          </cell>
        </row>
        <row r="629">
          <cell r="A629" t="str">
            <v>JENIS PEKERJAAN</v>
          </cell>
          <cell r="D629" t="str">
            <v>:  Lapis Pen. Macadam Perata</v>
          </cell>
        </row>
        <row r="630">
          <cell r="A630" t="str">
            <v>SATUAN PEMBAYARAN</v>
          </cell>
          <cell r="D630" t="str">
            <v>:  M3</v>
          </cell>
          <cell r="H630" t="str">
            <v xml:space="preserve">         URAIAN ANALISA HARGA SATUAN</v>
          </cell>
        </row>
        <row r="631">
          <cell r="J631" t="str">
            <v>Lanjutan</v>
          </cell>
        </row>
        <row r="633">
          <cell r="A633" t="str">
            <v>No.</v>
          </cell>
          <cell r="C633" t="str">
            <v>U R A I A N</v>
          </cell>
          <cell r="G633" t="str">
            <v>KODE</v>
          </cell>
          <cell r="H633" t="str">
            <v>KOEF.</v>
          </cell>
          <cell r="I633" t="str">
            <v>SATUAN</v>
          </cell>
          <cell r="J633" t="str">
            <v>KETERANGAN</v>
          </cell>
        </row>
        <row r="636">
          <cell r="C636" t="str">
            <v xml:space="preserve">Kap. Prod. / jam = </v>
          </cell>
          <cell r="D636" t="str">
            <v>V x Fb x Fa x 60</v>
          </cell>
          <cell r="G636" t="str">
            <v>Q1</v>
          </cell>
          <cell r="H636">
            <v>0</v>
          </cell>
          <cell r="I636" t="str">
            <v>M3</v>
          </cell>
          <cell r="J636" t="str">
            <v/>
          </cell>
        </row>
        <row r="637">
          <cell r="D637" t="str">
            <v>Ts1</v>
          </cell>
        </row>
        <row r="639">
          <cell r="C639" t="str">
            <v>Koefisien Alat/M3</v>
          </cell>
          <cell r="D639" t="str">
            <v xml:space="preserve"> = 1 : Q1</v>
          </cell>
          <cell r="G639" t="str">
            <v>(E15)</v>
          </cell>
          <cell r="H639">
            <v>0</v>
          </cell>
          <cell r="I639" t="str">
            <v>Jam</v>
          </cell>
        </row>
        <row r="641">
          <cell r="A641" t="str">
            <v>2.b.</v>
          </cell>
          <cell r="C641" t="str">
            <v>DUMP TRUCK (DT)</v>
          </cell>
          <cell r="G641" t="str">
            <v>(E09)</v>
          </cell>
        </row>
        <row r="642">
          <cell r="C642" t="str">
            <v>Kapasitas bak</v>
          </cell>
          <cell r="G642" t="str">
            <v>V</v>
          </cell>
          <cell r="H642">
            <v>6</v>
          </cell>
          <cell r="I642" t="str">
            <v>M3</v>
          </cell>
        </row>
        <row r="643">
          <cell r="C643" t="str">
            <v>Faktor Efisiensi alat</v>
          </cell>
          <cell r="G643" t="str">
            <v>Fa</v>
          </cell>
          <cell r="H643">
            <v>0.83</v>
          </cell>
          <cell r="I643" t="str">
            <v>-</v>
          </cell>
        </row>
        <row r="644">
          <cell r="C644" t="str">
            <v>Kecepatan rata-rata bermuatan</v>
          </cell>
          <cell r="G644" t="str">
            <v>v1</v>
          </cell>
          <cell r="H644">
            <v>40</v>
          </cell>
          <cell r="I644" t="str">
            <v>KM / Jam</v>
          </cell>
        </row>
      </sheetData>
      <sheetData sheetId="13"/>
      <sheetData sheetId="14" refreshError="1"/>
      <sheetData sheetId="15">
        <row r="2">
          <cell r="L2" t="str">
            <v>DAFTAR  KUANTITAS DAN HARGA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8">
          <cell r="F8">
            <v>6428.5714285714284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2000</v>
          </cell>
          <cell r="BI30">
            <v>400</v>
          </cell>
          <cell r="BJ30">
            <v>600</v>
          </cell>
          <cell r="BK30">
            <v>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BH35">
            <v>400</v>
          </cell>
          <cell r="BI35">
            <v>1000</v>
          </cell>
          <cell r="BJ35">
            <v>2000</v>
          </cell>
          <cell r="BK35">
            <v>600</v>
          </cell>
        </row>
        <row r="38">
          <cell r="BN38">
            <v>4000</v>
          </cell>
        </row>
      </sheetData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0">
          <cell r="BH60">
            <v>9000</v>
          </cell>
          <cell r="BI60">
            <v>0</v>
          </cell>
          <cell r="BJ60">
            <v>0</v>
          </cell>
          <cell r="BK60">
            <v>0</v>
          </cell>
        </row>
        <row r="63">
          <cell r="BN63">
            <v>9000</v>
          </cell>
        </row>
      </sheetData>
      <sheetData sheetId="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BH25">
            <v>800</v>
          </cell>
          <cell r="BI25">
            <v>1200</v>
          </cell>
          <cell r="BJ25">
            <v>0</v>
          </cell>
          <cell r="BK25">
            <v>0</v>
          </cell>
        </row>
        <row r="28">
          <cell r="BN28">
            <v>2000</v>
          </cell>
        </row>
      </sheetData>
      <sheetData sheetId="5">
        <row r="30">
          <cell r="BU30">
            <v>3000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BH25">
            <v>600</v>
          </cell>
          <cell r="BI25">
            <v>400</v>
          </cell>
          <cell r="BJ25">
            <v>1000</v>
          </cell>
          <cell r="BK25">
            <v>0</v>
          </cell>
        </row>
        <row r="28">
          <cell r="BN28">
            <v>2000</v>
          </cell>
        </row>
      </sheetData>
      <sheetData sheetId="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BH35">
            <v>3800</v>
          </cell>
          <cell r="BI35">
            <v>0</v>
          </cell>
          <cell r="BJ35">
            <v>200</v>
          </cell>
          <cell r="BK35">
            <v>0</v>
          </cell>
        </row>
        <row r="38">
          <cell r="BN38">
            <v>4000</v>
          </cell>
        </row>
      </sheetData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5">
          <cell r="BH55">
            <v>4600</v>
          </cell>
          <cell r="BI55">
            <v>0</v>
          </cell>
          <cell r="BJ55">
            <v>0</v>
          </cell>
          <cell r="BK55">
            <v>3400</v>
          </cell>
        </row>
        <row r="58">
          <cell r="BN58">
            <v>8000</v>
          </cell>
        </row>
      </sheetData>
      <sheetData sheetId="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3000</v>
          </cell>
          <cell r="BI30">
            <v>0</v>
          </cell>
          <cell r="BJ30">
            <v>0</v>
          </cell>
          <cell r="BK30">
            <v>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BH45">
            <v>6000</v>
          </cell>
          <cell r="BI45">
            <v>0</v>
          </cell>
          <cell r="BJ45">
            <v>0</v>
          </cell>
          <cell r="BK45">
            <v>0</v>
          </cell>
        </row>
        <row r="48">
          <cell r="BN48">
            <v>6000</v>
          </cell>
        </row>
      </sheetData>
      <sheetData sheetId="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6930</v>
          </cell>
          <cell r="BI50">
            <v>0</v>
          </cell>
          <cell r="BJ50">
            <v>0</v>
          </cell>
          <cell r="BK50">
            <v>0</v>
          </cell>
        </row>
        <row r="53">
          <cell r="BN53">
            <v>6930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Sheet1"/>
      <sheetName val="Rab"/>
      <sheetName val="Quary"/>
      <sheetName val="Basic"/>
      <sheetName val="Alat"/>
      <sheetName val="Div.2"/>
      <sheetName val="Div.3"/>
      <sheetName val="Div.4"/>
      <sheetName val="Div.5"/>
      <sheetName val="Telford"/>
      <sheetName val="Div.6"/>
      <sheetName val="Div6b"/>
      <sheetName val="Send."/>
      <sheetName val="D7"/>
      <sheetName val="D7b"/>
      <sheetName val="Div.8"/>
      <sheetName val="Div 8 &amp; 10"/>
      <sheetName val="Sumuran"/>
      <sheetName val="Pancang"/>
      <sheetName val="Div.10"/>
      <sheetName val="Div 10 b"/>
    </sheetNames>
    <sheetDataSet>
      <sheetData sheetId="0" refreshError="1"/>
      <sheetData sheetId="1" refreshError="1"/>
      <sheetData sheetId="2">
        <row r="89">
          <cell r="G89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2600</v>
          </cell>
          <cell r="BI50">
            <v>1400</v>
          </cell>
          <cell r="BJ50">
            <v>0</v>
          </cell>
          <cell r="BK50">
            <v>3000</v>
          </cell>
        </row>
        <row r="53">
          <cell r="BN53">
            <v>7000</v>
          </cell>
        </row>
      </sheetData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1400</v>
          </cell>
          <cell r="BI50">
            <v>400</v>
          </cell>
          <cell r="BJ50">
            <v>2400</v>
          </cell>
          <cell r="BK50">
            <v>800</v>
          </cell>
        </row>
        <row r="53">
          <cell r="BN53">
            <v>5000</v>
          </cell>
        </row>
      </sheetData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3200</v>
          </cell>
          <cell r="BI50">
            <v>1000</v>
          </cell>
          <cell r="BJ50">
            <v>2000</v>
          </cell>
          <cell r="BK50">
            <v>800</v>
          </cell>
        </row>
        <row r="53">
          <cell r="BN53">
            <v>7000</v>
          </cell>
        </row>
      </sheetData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0</v>
          </cell>
          <cell r="BI50">
            <v>0</v>
          </cell>
          <cell r="BJ50">
            <v>800</v>
          </cell>
          <cell r="BK50">
            <v>2200</v>
          </cell>
        </row>
        <row r="53">
          <cell r="BN53">
            <v>3000</v>
          </cell>
        </row>
      </sheetData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1200</v>
          </cell>
          <cell r="BI50">
            <v>0</v>
          </cell>
          <cell r="BJ50">
            <v>900</v>
          </cell>
          <cell r="BK50">
            <v>1200</v>
          </cell>
        </row>
        <row r="53">
          <cell r="BN53">
            <v>3300</v>
          </cell>
        </row>
      </sheetData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1400</v>
          </cell>
          <cell r="BI50">
            <v>200</v>
          </cell>
          <cell r="BJ50">
            <v>200</v>
          </cell>
          <cell r="BK50">
            <v>3200</v>
          </cell>
        </row>
        <row r="53">
          <cell r="BN53">
            <v>5000</v>
          </cell>
        </row>
      </sheetData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1400</v>
          </cell>
          <cell r="BI30">
            <v>1400</v>
          </cell>
          <cell r="BJ30">
            <v>0</v>
          </cell>
          <cell r="BK30">
            <v>200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200</v>
          </cell>
          <cell r="BI50">
            <v>800</v>
          </cell>
          <cell r="BJ50">
            <v>1000</v>
          </cell>
          <cell r="BK50">
            <v>600</v>
          </cell>
        </row>
        <row r="53">
          <cell r="BN53">
            <v>2600</v>
          </cell>
        </row>
      </sheetData>
      <sheetData sheetId="5">
        <row r="49">
          <cell r="BW49">
            <v>2400</v>
          </cell>
        </row>
        <row r="50">
          <cell r="BU50">
            <v>2400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">
          <cell r="BH50">
            <v>4800</v>
          </cell>
          <cell r="BI50">
            <v>0</v>
          </cell>
          <cell r="BJ50">
            <v>0</v>
          </cell>
          <cell r="BK50">
            <v>0</v>
          </cell>
        </row>
        <row r="53">
          <cell r="BN53">
            <v>4800</v>
          </cell>
        </row>
      </sheetData>
      <sheetData sheetId="5">
        <row r="49">
          <cell r="BW49">
            <v>3500</v>
          </cell>
        </row>
        <row r="50">
          <cell r="BU50">
            <v>3500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BH29">
            <v>2200</v>
          </cell>
          <cell r="BI29">
            <v>600</v>
          </cell>
          <cell r="BJ29">
            <v>0</v>
          </cell>
          <cell r="BK29">
            <v>0</v>
          </cell>
        </row>
        <row r="32">
          <cell r="BN32">
            <v>2800</v>
          </cell>
        </row>
      </sheetData>
      <sheetData sheetId="5">
        <row r="25">
          <cell r="BW25">
            <v>2200</v>
          </cell>
        </row>
        <row r="26">
          <cell r="BU26">
            <v>2200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Sheet1"/>
      <sheetName val="Rab"/>
      <sheetName val="Quary"/>
      <sheetName val="Basic"/>
      <sheetName val="Alat"/>
      <sheetName val="Div.2"/>
      <sheetName val="Div.3"/>
      <sheetName val="Div.4"/>
      <sheetName val="Div.5"/>
      <sheetName val="Telford"/>
      <sheetName val="Div.6"/>
      <sheetName val="Div6b"/>
      <sheetName val="Send."/>
      <sheetName val="D7"/>
      <sheetName val="D7b"/>
      <sheetName val="Div.8"/>
      <sheetName val="Div 8 &amp; 10"/>
      <sheetName val="Sumuran"/>
      <sheetName val="Pancang"/>
      <sheetName val="Div.10"/>
      <sheetName val="Div 10 b"/>
    </sheetNames>
    <sheetDataSet>
      <sheetData sheetId="0" refreshError="1"/>
      <sheetData sheetId="1" refreshError="1"/>
      <sheetData sheetId="2">
        <row r="89">
          <cell r="G89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BH45">
            <v>0</v>
          </cell>
          <cell r="BI45">
            <v>0</v>
          </cell>
          <cell r="BJ45">
            <v>6000</v>
          </cell>
        </row>
        <row r="48">
          <cell r="BN48">
            <v>6000</v>
          </cell>
        </row>
      </sheetData>
      <sheetData sheetId="5">
        <row r="19">
          <cell r="BW19">
            <v>1000</v>
          </cell>
        </row>
        <row r="20">
          <cell r="BU20">
            <v>1000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8">
          <cell r="BH48">
            <v>6600</v>
          </cell>
          <cell r="BI48">
            <v>0</v>
          </cell>
          <cell r="BJ48">
            <v>0</v>
          </cell>
          <cell r="BK48">
            <v>0</v>
          </cell>
        </row>
        <row r="51">
          <cell r="BN51">
            <v>6600</v>
          </cell>
        </row>
      </sheetData>
      <sheetData sheetId="5">
        <row r="21">
          <cell r="BW21">
            <v>1400</v>
          </cell>
        </row>
        <row r="22">
          <cell r="BU22">
            <v>1400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9">
          <cell r="BH89">
            <v>13900</v>
          </cell>
          <cell r="BI89">
            <v>0</v>
          </cell>
          <cell r="BJ89">
            <v>200</v>
          </cell>
          <cell r="BK89">
            <v>600</v>
          </cell>
        </row>
        <row r="92">
          <cell r="BN92">
            <v>14700</v>
          </cell>
        </row>
      </sheetData>
      <sheetData sheetId="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6">
          <cell r="BH76">
            <v>11000</v>
          </cell>
          <cell r="BI76">
            <v>1000</v>
          </cell>
          <cell r="BJ76">
            <v>0</v>
          </cell>
          <cell r="BK76">
            <v>0</v>
          </cell>
        </row>
        <row r="79">
          <cell r="BN79">
            <v>12000</v>
          </cell>
        </row>
      </sheetData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3">
          <cell r="BH43">
            <v>800</v>
          </cell>
          <cell r="BI43">
            <v>400</v>
          </cell>
          <cell r="BJ43">
            <v>2600</v>
          </cell>
          <cell r="BK43">
            <v>1800</v>
          </cell>
        </row>
        <row r="46">
          <cell r="BN46">
            <v>5600</v>
          </cell>
        </row>
      </sheetData>
      <sheetData sheetId="5">
        <row r="16">
          <cell r="BW16">
            <v>400</v>
          </cell>
        </row>
        <row r="17">
          <cell r="BU17">
            <v>400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H31">
            <v>800</v>
          </cell>
          <cell r="BI31">
            <v>2200</v>
          </cell>
          <cell r="BJ31">
            <v>0</v>
          </cell>
          <cell r="BK31">
            <v>200</v>
          </cell>
        </row>
        <row r="34">
          <cell r="BN34">
            <v>3200</v>
          </cell>
        </row>
      </sheetData>
      <sheetData sheetId="5">
        <row r="33">
          <cell r="BW33">
            <v>3800</v>
          </cell>
        </row>
        <row r="34">
          <cell r="BU34">
            <v>3800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1000</v>
          </cell>
          <cell r="BI30">
            <v>400</v>
          </cell>
          <cell r="BJ30">
            <v>1600</v>
          </cell>
          <cell r="BK30">
            <v>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0">
          <cell r="BH30">
            <v>1800</v>
          </cell>
          <cell r="BI30">
            <v>600</v>
          </cell>
          <cell r="BJ30">
            <v>0</v>
          </cell>
          <cell r="BK30">
            <v>600</v>
          </cell>
        </row>
        <row r="33">
          <cell r="BN33">
            <v>3000</v>
          </cell>
        </row>
      </sheetData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">
          <cell r="BH24">
            <v>1200</v>
          </cell>
          <cell r="BI24">
            <v>400</v>
          </cell>
          <cell r="BJ24">
            <v>200</v>
          </cell>
          <cell r="BK24">
            <v>0</v>
          </cell>
        </row>
        <row r="27">
          <cell r="BN27">
            <v>1800</v>
          </cell>
        </row>
      </sheetData>
      <sheetData sheetId="5">
        <row r="35">
          <cell r="BW35">
            <v>4200</v>
          </cell>
        </row>
        <row r="36">
          <cell r="BU36">
            <v>4200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4">
          <cell r="BH74">
            <v>4400</v>
          </cell>
          <cell r="BI74">
            <v>1000</v>
          </cell>
          <cell r="BJ74">
            <v>600</v>
          </cell>
          <cell r="BK74">
            <v>5800</v>
          </cell>
        </row>
        <row r="77">
          <cell r="BN77">
            <v>11800</v>
          </cell>
        </row>
      </sheetData>
      <sheetData sheetId="5">
        <row r="25">
          <cell r="BW25">
            <v>2200</v>
          </cell>
        </row>
        <row r="26">
          <cell r="BU26">
            <v>2200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ang"/>
    </sheetNames>
    <sheetDataSet>
      <sheetData sheetId="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6">
          <cell r="BH26">
            <v>0</v>
          </cell>
          <cell r="BI26">
            <v>400</v>
          </cell>
          <cell r="BJ26">
            <v>1000</v>
          </cell>
          <cell r="BK26">
            <v>800</v>
          </cell>
        </row>
        <row r="29">
          <cell r="BN29">
            <v>2200</v>
          </cell>
        </row>
      </sheetData>
      <sheetData sheetId="5">
        <row r="38">
          <cell r="BW38">
            <v>4800</v>
          </cell>
        </row>
        <row r="39">
          <cell r="BU39">
            <v>4800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/>
      <sheetData sheetId="1"/>
      <sheetData sheetId="2"/>
      <sheetData sheetId="3"/>
      <sheetData sheetId="4">
        <row r="46">
          <cell r="BH46">
            <v>1200</v>
          </cell>
          <cell r="BI46">
            <v>1200</v>
          </cell>
          <cell r="BJ46">
            <v>2200</v>
          </cell>
          <cell r="BK46">
            <v>1600</v>
          </cell>
        </row>
        <row r="49">
          <cell r="BN49">
            <v>6200</v>
          </cell>
        </row>
      </sheetData>
      <sheetData sheetId="5">
        <row r="23">
          <cell r="BW23">
            <v>1800</v>
          </cell>
        </row>
        <row r="24">
          <cell r="BU24">
            <v>1800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1-2019"/>
      <sheetName val="Form RCI"/>
      <sheetName val="Form RCI 2"/>
      <sheetName val="Form RCI (3)"/>
      <sheetName val="Aspal"/>
      <sheetName val="Non As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4">
          <cell r="BW34">
            <v>4000</v>
          </cell>
        </row>
        <row r="35">
          <cell r="BU35">
            <v>4000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DD2020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Draft2"/>
      <sheetName val="Sheet1"/>
      <sheetName val="SANDINGAN"/>
    </sheetNames>
    <sheetDataSet>
      <sheetData sheetId="0">
        <row r="31">
          <cell r="G31">
            <v>3.0352999999999999</v>
          </cell>
        </row>
        <row r="32">
          <cell r="G32">
            <v>3.0352999999999999</v>
          </cell>
        </row>
        <row r="33">
          <cell r="G33">
            <v>4.2353000000000005</v>
          </cell>
        </row>
        <row r="34">
          <cell r="G34">
            <v>3.9953000000000003</v>
          </cell>
        </row>
        <row r="35">
          <cell r="G35">
            <v>2.7953000000000001</v>
          </cell>
        </row>
        <row r="36">
          <cell r="G36">
            <v>2.7953000000000001</v>
          </cell>
        </row>
        <row r="37">
          <cell r="G37">
            <v>2.3152999999999997</v>
          </cell>
        </row>
        <row r="38">
          <cell r="G38">
            <v>3.5152999999999999</v>
          </cell>
        </row>
        <row r="39">
          <cell r="G39">
            <v>2.7953000000000001</v>
          </cell>
        </row>
        <row r="40">
          <cell r="G40">
            <v>3.0352999999999999</v>
          </cell>
        </row>
        <row r="41">
          <cell r="G41">
            <v>2.7953000000000001</v>
          </cell>
        </row>
        <row r="42">
          <cell r="G42">
            <v>5.1952999999999996</v>
          </cell>
        </row>
        <row r="43">
          <cell r="G43">
            <v>3.0352999999999999</v>
          </cell>
        </row>
        <row r="44">
          <cell r="G44">
            <v>3.2752999999999997</v>
          </cell>
        </row>
        <row r="45">
          <cell r="G45">
            <v>4.7153</v>
          </cell>
        </row>
        <row r="46">
          <cell r="G46">
            <v>3.9953000000000003</v>
          </cell>
        </row>
        <row r="47">
          <cell r="G47">
            <v>3.5152999999999999</v>
          </cell>
        </row>
        <row r="48">
          <cell r="G48">
            <v>3.2752999999999997</v>
          </cell>
        </row>
        <row r="49">
          <cell r="G49">
            <v>3.5152999999999999</v>
          </cell>
        </row>
        <row r="50">
          <cell r="G50">
            <v>3.7553000000000001</v>
          </cell>
        </row>
        <row r="51">
          <cell r="G51">
            <v>3.9953000000000003</v>
          </cell>
        </row>
        <row r="52">
          <cell r="G52">
            <v>3.0352999999999999</v>
          </cell>
        </row>
        <row r="53">
          <cell r="G53">
            <v>2.5552999999999999</v>
          </cell>
        </row>
        <row r="54">
          <cell r="G54">
            <v>3.2752999999999997</v>
          </cell>
        </row>
        <row r="55">
          <cell r="G55">
            <v>3.0352999999999999</v>
          </cell>
        </row>
        <row r="56">
          <cell r="G56">
            <v>3.0352999999999999</v>
          </cell>
        </row>
        <row r="57">
          <cell r="G57">
            <v>3.2752999999999997</v>
          </cell>
        </row>
        <row r="58">
          <cell r="G58">
            <v>4.7153</v>
          </cell>
        </row>
        <row r="59">
          <cell r="G59">
            <v>3.0352999999999999</v>
          </cell>
        </row>
        <row r="60">
          <cell r="G60">
            <v>3.5152999999999999</v>
          </cell>
        </row>
        <row r="61">
          <cell r="G61">
            <v>3.5152999999999999</v>
          </cell>
        </row>
        <row r="62">
          <cell r="G62">
            <v>4.7153</v>
          </cell>
        </row>
        <row r="63">
          <cell r="G63">
            <v>3.9953000000000003</v>
          </cell>
        </row>
        <row r="64">
          <cell r="G64">
            <v>3.7553000000000001</v>
          </cell>
        </row>
        <row r="65">
          <cell r="G65">
            <v>4.4752999999999998</v>
          </cell>
        </row>
        <row r="66">
          <cell r="G66">
            <v>4.2353000000000005</v>
          </cell>
        </row>
        <row r="67">
          <cell r="G67">
            <v>4.2353000000000005</v>
          </cell>
        </row>
        <row r="68">
          <cell r="G68">
            <v>3.5152999999999999</v>
          </cell>
        </row>
        <row r="69">
          <cell r="G69">
            <v>4.9553000000000003</v>
          </cell>
        </row>
        <row r="70">
          <cell r="G70">
            <v>7.1153000000000013</v>
          </cell>
        </row>
        <row r="71">
          <cell r="G71">
            <v>4.4752999999999998</v>
          </cell>
        </row>
        <row r="72">
          <cell r="G72">
            <v>3.9953000000000003</v>
          </cell>
        </row>
        <row r="73">
          <cell r="G73">
            <v>3.5152999999999999</v>
          </cell>
        </row>
        <row r="74">
          <cell r="G74">
            <v>3.5152999999999999</v>
          </cell>
        </row>
        <row r="75">
          <cell r="G75">
            <v>3.2752999999999997</v>
          </cell>
        </row>
        <row r="76">
          <cell r="G76">
            <v>3.5152999999999999</v>
          </cell>
        </row>
        <row r="77">
          <cell r="G77">
            <v>3.2752999999999997</v>
          </cell>
        </row>
        <row r="78">
          <cell r="G78">
            <v>3.2752999999999997</v>
          </cell>
        </row>
        <row r="79">
          <cell r="G79">
            <v>2.7953000000000001</v>
          </cell>
        </row>
        <row r="80">
          <cell r="G80">
            <v>3.5152999999999999</v>
          </cell>
        </row>
        <row r="81">
          <cell r="G81">
            <v>3.7553000000000001</v>
          </cell>
        </row>
        <row r="82">
          <cell r="G82">
            <v>3.2752999999999997</v>
          </cell>
        </row>
        <row r="83">
          <cell r="G83">
            <v>3.5152999999999999</v>
          </cell>
        </row>
        <row r="84">
          <cell r="G84">
            <v>3.5152999999999999</v>
          </cell>
        </row>
        <row r="85">
          <cell r="G85">
            <v>3.2752999999999997</v>
          </cell>
        </row>
        <row r="86">
          <cell r="G86">
            <v>2.7953000000000001</v>
          </cell>
        </row>
        <row r="87">
          <cell r="G87">
            <v>3.0352999999999999</v>
          </cell>
        </row>
        <row r="88">
          <cell r="G88">
            <v>3.2752999999999997</v>
          </cell>
        </row>
        <row r="89">
          <cell r="G89">
            <v>3.9953000000000003</v>
          </cell>
        </row>
        <row r="90">
          <cell r="G90">
            <v>4.2353000000000005</v>
          </cell>
        </row>
        <row r="91">
          <cell r="G91">
            <v>4.2353000000000005</v>
          </cell>
        </row>
        <row r="92">
          <cell r="G92">
            <v>3.9953000000000003</v>
          </cell>
        </row>
        <row r="93">
          <cell r="G93">
            <v>3.5152999999999999</v>
          </cell>
        </row>
        <row r="94">
          <cell r="G94">
            <v>3.9953000000000003</v>
          </cell>
        </row>
        <row r="95">
          <cell r="G95">
            <v>5.1952999999999996</v>
          </cell>
        </row>
        <row r="96">
          <cell r="G96">
            <v>4.2353000000000005</v>
          </cell>
        </row>
        <row r="97">
          <cell r="G97">
            <v>3.5152999999999999</v>
          </cell>
        </row>
        <row r="98">
          <cell r="G98">
            <v>4.7153</v>
          </cell>
        </row>
        <row r="99">
          <cell r="G99">
            <v>5.1952999999999996</v>
          </cell>
        </row>
        <row r="100">
          <cell r="G100">
            <v>4.9553000000000003</v>
          </cell>
        </row>
        <row r="101">
          <cell r="G101">
            <v>6.6353</v>
          </cell>
        </row>
        <row r="102">
          <cell r="G102">
            <v>3.7553000000000001</v>
          </cell>
        </row>
        <row r="103">
          <cell r="G103">
            <v>5.9152999999999993</v>
          </cell>
        </row>
        <row r="104">
          <cell r="G104">
            <v>4.7153</v>
          </cell>
        </row>
        <row r="105">
          <cell r="G105">
            <v>5.6753</v>
          </cell>
        </row>
        <row r="106">
          <cell r="G106">
            <v>3.2752999999999997</v>
          </cell>
        </row>
        <row r="107">
          <cell r="G107">
            <v>3.5152999999999999</v>
          </cell>
        </row>
        <row r="108">
          <cell r="G108">
            <v>3.2752999999999997</v>
          </cell>
        </row>
        <row r="109">
          <cell r="G109">
            <v>4.7153</v>
          </cell>
        </row>
        <row r="110">
          <cell r="G110">
            <v>3.7553000000000001</v>
          </cell>
        </row>
        <row r="111">
          <cell r="G111">
            <v>3.0352999999999999</v>
          </cell>
        </row>
        <row r="112">
          <cell r="G112">
            <v>4.7153</v>
          </cell>
        </row>
        <row r="113">
          <cell r="G113">
            <v>3.5152999999999999</v>
          </cell>
        </row>
        <row r="114">
          <cell r="G114">
            <v>3.7553000000000001</v>
          </cell>
        </row>
        <row r="115">
          <cell r="G115">
            <v>3.2752999999999997</v>
          </cell>
        </row>
        <row r="116">
          <cell r="G116">
            <v>4.4752999999999998</v>
          </cell>
        </row>
        <row r="117">
          <cell r="G117">
            <v>3.7553000000000001</v>
          </cell>
        </row>
        <row r="118">
          <cell r="G118">
            <v>3.0352999999999999</v>
          </cell>
        </row>
        <row r="119">
          <cell r="G119">
            <v>3.5152999999999999</v>
          </cell>
        </row>
        <row r="120">
          <cell r="G120">
            <v>3.0352999999999999</v>
          </cell>
        </row>
        <row r="121">
          <cell r="G121">
            <v>3.2752999999999997</v>
          </cell>
        </row>
        <row r="122">
          <cell r="G122">
            <v>3.2752999999999997</v>
          </cell>
        </row>
        <row r="123">
          <cell r="G123">
            <v>3.7553000000000001</v>
          </cell>
        </row>
        <row r="124">
          <cell r="G124">
            <v>4.2353000000000005</v>
          </cell>
        </row>
        <row r="125">
          <cell r="G125">
            <v>3.5152999999999999</v>
          </cell>
        </row>
        <row r="126">
          <cell r="G126">
            <v>3.7553000000000001</v>
          </cell>
        </row>
        <row r="127">
          <cell r="G127">
            <v>3.2752999999999997</v>
          </cell>
        </row>
        <row r="128">
          <cell r="G128">
            <v>7.8353000000000002</v>
          </cell>
        </row>
        <row r="129">
          <cell r="G129">
            <v>7.8353000000000002</v>
          </cell>
        </row>
        <row r="130">
          <cell r="G130">
            <v>4.9553000000000003</v>
          </cell>
        </row>
        <row r="131">
          <cell r="G131">
            <v>5.4353000000000007</v>
          </cell>
        </row>
        <row r="132">
          <cell r="G132">
            <v>5.6753</v>
          </cell>
        </row>
        <row r="133">
          <cell r="G133">
            <v>5.4353000000000007</v>
          </cell>
        </row>
        <row r="134">
          <cell r="G134">
            <v>3.7553000000000001</v>
          </cell>
        </row>
        <row r="135">
          <cell r="G135">
            <v>4.7153</v>
          </cell>
        </row>
        <row r="136">
          <cell r="G136">
            <v>3.7553000000000001</v>
          </cell>
        </row>
        <row r="137">
          <cell r="G137">
            <v>2.7953000000000001</v>
          </cell>
        </row>
        <row r="138">
          <cell r="G138">
            <v>3.5152999999999999</v>
          </cell>
        </row>
        <row r="139">
          <cell r="G139">
            <v>6.8752999999999993</v>
          </cell>
        </row>
        <row r="140">
          <cell r="G140">
            <v>3.9953000000000003</v>
          </cell>
        </row>
        <row r="141">
          <cell r="G141">
            <v>3.9953000000000003</v>
          </cell>
        </row>
        <row r="142">
          <cell r="G142">
            <v>9.0352999999999994</v>
          </cell>
        </row>
        <row r="143">
          <cell r="G143">
            <v>3.9953000000000003</v>
          </cell>
        </row>
        <row r="144">
          <cell r="G144">
            <v>4.7153</v>
          </cell>
        </row>
        <row r="145">
          <cell r="G145">
            <v>3.9953000000000003</v>
          </cell>
        </row>
        <row r="146">
          <cell r="G146">
            <v>3.7553000000000001</v>
          </cell>
        </row>
        <row r="147">
          <cell r="G147">
            <v>4.9553000000000003</v>
          </cell>
        </row>
        <row r="148">
          <cell r="G148">
            <v>3.7553000000000001</v>
          </cell>
        </row>
        <row r="149">
          <cell r="G149">
            <v>3.7553000000000001</v>
          </cell>
        </row>
        <row r="150">
          <cell r="G150">
            <v>3.2752999999999997</v>
          </cell>
        </row>
        <row r="151">
          <cell r="G151">
            <v>3.0352999999999999</v>
          </cell>
        </row>
        <row r="152">
          <cell r="G152">
            <v>3.5152999999999999</v>
          </cell>
        </row>
        <row r="153">
          <cell r="G153">
            <v>3.9953000000000003</v>
          </cell>
        </row>
        <row r="154">
          <cell r="G154">
            <v>3.7553000000000001</v>
          </cell>
        </row>
        <row r="155">
          <cell r="G155">
            <v>3.2752999999999997</v>
          </cell>
        </row>
        <row r="156">
          <cell r="G156">
            <v>4.2353000000000005</v>
          </cell>
        </row>
        <row r="157">
          <cell r="G157">
            <v>3.2752999999999997</v>
          </cell>
        </row>
        <row r="158">
          <cell r="G158">
            <v>3.9953000000000003</v>
          </cell>
        </row>
        <row r="159">
          <cell r="G159">
            <v>4.2353000000000005</v>
          </cell>
        </row>
        <row r="160">
          <cell r="G160">
            <v>4.4752999999999998</v>
          </cell>
        </row>
        <row r="161">
          <cell r="G161">
            <v>4.7153</v>
          </cell>
        </row>
        <row r="162">
          <cell r="G162">
            <v>3.5152999999999999</v>
          </cell>
        </row>
        <row r="163">
          <cell r="G163">
            <v>5.1952999999999996</v>
          </cell>
        </row>
        <row r="164">
          <cell r="G164">
            <v>4.2353000000000005</v>
          </cell>
        </row>
        <row r="165">
          <cell r="G165">
            <v>4.4752999999999998</v>
          </cell>
        </row>
        <row r="166">
          <cell r="G166">
            <v>3.0352999999999999</v>
          </cell>
        </row>
        <row r="167">
          <cell r="G167">
            <v>4.4752999999999998</v>
          </cell>
        </row>
        <row r="168">
          <cell r="G168">
            <v>3.7553000000000001</v>
          </cell>
        </row>
        <row r="169">
          <cell r="G169">
            <v>3.5152999999999999</v>
          </cell>
        </row>
        <row r="170">
          <cell r="G170">
            <v>3.2752999999999997</v>
          </cell>
        </row>
        <row r="171">
          <cell r="G171">
            <v>2.5552999999999999</v>
          </cell>
        </row>
        <row r="172">
          <cell r="G172">
            <v>4.7153</v>
          </cell>
        </row>
        <row r="173">
          <cell r="G173">
            <v>3.0352999999999999</v>
          </cell>
        </row>
        <row r="174">
          <cell r="G174">
            <v>3.9953000000000003</v>
          </cell>
        </row>
        <row r="175">
          <cell r="G175">
            <v>2.7953000000000001</v>
          </cell>
        </row>
        <row r="176">
          <cell r="G176">
            <v>3.2752999999999997</v>
          </cell>
        </row>
        <row r="177">
          <cell r="G177">
            <v>4.2353000000000005</v>
          </cell>
        </row>
        <row r="178">
          <cell r="G178">
            <v>3.5152999999999999</v>
          </cell>
        </row>
        <row r="179">
          <cell r="G179">
            <v>4.4752999999999998</v>
          </cell>
        </row>
        <row r="180">
          <cell r="G180">
            <v>4.9553000000000003</v>
          </cell>
        </row>
        <row r="181">
          <cell r="G181">
            <v>3.7553000000000001</v>
          </cell>
        </row>
        <row r="182">
          <cell r="G182">
            <v>7.8353000000000002</v>
          </cell>
        </row>
        <row r="183">
          <cell r="G183">
            <v>8.3153000000000006</v>
          </cell>
        </row>
        <row r="184">
          <cell r="G184">
            <v>8.795300000000001</v>
          </cell>
        </row>
        <row r="185">
          <cell r="G185">
            <v>5.6753</v>
          </cell>
        </row>
        <row r="186">
          <cell r="G186">
            <v>5.6753</v>
          </cell>
        </row>
        <row r="187">
          <cell r="G187">
            <v>7.3552999999999997</v>
          </cell>
        </row>
        <row r="188">
          <cell r="G188">
            <v>5.6753</v>
          </cell>
        </row>
        <row r="189">
          <cell r="G189">
            <v>4.2353000000000005</v>
          </cell>
        </row>
        <row r="190">
          <cell r="G190">
            <v>4.9553000000000003</v>
          </cell>
        </row>
        <row r="191">
          <cell r="G191">
            <v>3.7553000000000001</v>
          </cell>
        </row>
        <row r="192">
          <cell r="G192">
            <v>3.2752999999999997</v>
          </cell>
        </row>
        <row r="193">
          <cell r="G193">
            <v>4.4752999999999998</v>
          </cell>
        </row>
        <row r="194">
          <cell r="G194">
            <v>3.7553000000000001</v>
          </cell>
        </row>
        <row r="195">
          <cell r="G195">
            <v>2.7953000000000001</v>
          </cell>
        </row>
        <row r="196">
          <cell r="G196">
            <v>3.7553000000000001</v>
          </cell>
        </row>
        <row r="197">
          <cell r="G197">
            <v>3.2752999999999997</v>
          </cell>
        </row>
        <row r="198">
          <cell r="G198">
            <v>4.4752999999999998</v>
          </cell>
        </row>
        <row r="199">
          <cell r="G199">
            <v>3.2752999999999997</v>
          </cell>
        </row>
        <row r="200">
          <cell r="G200">
            <v>7.8353000000000002</v>
          </cell>
        </row>
        <row r="201">
          <cell r="G201">
            <v>5.4353000000000007</v>
          </cell>
        </row>
        <row r="202">
          <cell r="G202">
            <v>15.5153</v>
          </cell>
        </row>
        <row r="203">
          <cell r="G203">
            <v>7.1153000000000013</v>
          </cell>
        </row>
        <row r="204">
          <cell r="G204">
            <v>6.3952999999999998</v>
          </cell>
        </row>
        <row r="205">
          <cell r="G205">
            <v>9.9953000000000003</v>
          </cell>
        </row>
        <row r="206">
          <cell r="G206">
            <v>6.1552999999999995</v>
          </cell>
        </row>
        <row r="207">
          <cell r="G207">
            <v>10.715299999999999</v>
          </cell>
        </row>
        <row r="208">
          <cell r="G208">
            <v>6.3952999999999998</v>
          </cell>
        </row>
        <row r="209">
          <cell r="G209">
            <v>6.6353</v>
          </cell>
        </row>
        <row r="210">
          <cell r="G210">
            <v>8.3153000000000006</v>
          </cell>
        </row>
        <row r="211">
          <cell r="G211">
            <v>6.6353</v>
          </cell>
        </row>
        <row r="212">
          <cell r="G212">
            <v>5.9152999999999993</v>
          </cell>
        </row>
        <row r="213">
          <cell r="G213">
            <v>4.9553000000000003</v>
          </cell>
        </row>
        <row r="214">
          <cell r="G214">
            <v>7.1153000000000013</v>
          </cell>
        </row>
        <row r="215">
          <cell r="G215">
            <v>5.1952999999999996</v>
          </cell>
        </row>
        <row r="216">
          <cell r="G216">
            <v>4.9553000000000003</v>
          </cell>
        </row>
        <row r="217">
          <cell r="G217">
            <v>5.1952999999999996</v>
          </cell>
        </row>
        <row r="218">
          <cell r="G218">
            <v>5.4353000000000007</v>
          </cell>
        </row>
        <row r="219">
          <cell r="G219">
            <v>9.2752999999999997</v>
          </cell>
        </row>
        <row r="220">
          <cell r="G220">
            <v>5.9152999999999993</v>
          </cell>
        </row>
        <row r="221">
          <cell r="G221">
            <v>5.9152999999999993</v>
          </cell>
        </row>
        <row r="222">
          <cell r="G222">
            <v>9.2752999999999997</v>
          </cell>
        </row>
        <row r="223">
          <cell r="G223">
            <v>6.3952999999999998</v>
          </cell>
        </row>
        <row r="224">
          <cell r="G224">
            <v>15.5153</v>
          </cell>
        </row>
        <row r="225">
          <cell r="G225">
            <v>10.235300000000001</v>
          </cell>
        </row>
        <row r="226">
          <cell r="G226">
            <v>8.3153000000000006</v>
          </cell>
        </row>
        <row r="227">
          <cell r="G227">
            <v>4.7153</v>
          </cell>
        </row>
        <row r="228">
          <cell r="G228">
            <v>5.6753</v>
          </cell>
        </row>
        <row r="229">
          <cell r="G229">
            <v>10.955299999999999</v>
          </cell>
        </row>
        <row r="230">
          <cell r="G230">
            <v>5.9152999999999993</v>
          </cell>
        </row>
        <row r="231">
          <cell r="G231">
            <v>6.6353</v>
          </cell>
        </row>
        <row r="232">
          <cell r="G232">
            <v>6.8752999999999993</v>
          </cell>
        </row>
        <row r="233">
          <cell r="G233">
            <v>6.1552999999999995</v>
          </cell>
        </row>
        <row r="234">
          <cell r="G234">
            <v>5.4353000000000007</v>
          </cell>
        </row>
        <row r="235">
          <cell r="G235">
            <v>5.9152999999999993</v>
          </cell>
        </row>
        <row r="236">
          <cell r="G236">
            <v>8.5553000000000008</v>
          </cell>
        </row>
        <row r="237">
          <cell r="G237">
            <v>4.7153</v>
          </cell>
        </row>
        <row r="238">
          <cell r="G238">
            <v>5.6753</v>
          </cell>
        </row>
        <row r="239">
          <cell r="G239">
            <v>6.1552999999999995</v>
          </cell>
        </row>
        <row r="240">
          <cell r="G240">
            <v>4.9553000000000003</v>
          </cell>
        </row>
        <row r="241">
          <cell r="G241">
            <v>6.1552999999999995</v>
          </cell>
        </row>
        <row r="242">
          <cell r="G242">
            <v>4.7153</v>
          </cell>
        </row>
        <row r="243">
          <cell r="G243">
            <v>9.0352999999999994</v>
          </cell>
        </row>
        <row r="244">
          <cell r="G244">
            <v>7.3552999999999997</v>
          </cell>
        </row>
        <row r="245">
          <cell r="G245">
            <v>8.5553000000000008</v>
          </cell>
        </row>
        <row r="246">
          <cell r="G246">
            <v>6.6353</v>
          </cell>
        </row>
        <row r="247">
          <cell r="G247">
            <v>6.6353</v>
          </cell>
        </row>
        <row r="248">
          <cell r="G248">
            <v>6.1552999999999995</v>
          </cell>
        </row>
        <row r="249">
          <cell r="G249">
            <v>7.1153000000000013</v>
          </cell>
        </row>
        <row r="250">
          <cell r="G250">
            <v>4.7153</v>
          </cell>
        </row>
        <row r="251">
          <cell r="G251">
            <v>6.1552999999999995</v>
          </cell>
        </row>
        <row r="252">
          <cell r="G252">
            <v>4.7153</v>
          </cell>
        </row>
        <row r="253">
          <cell r="G253">
            <v>4.9553000000000003</v>
          </cell>
        </row>
        <row r="254">
          <cell r="G254">
            <v>14.0753</v>
          </cell>
        </row>
        <row r="255">
          <cell r="G255">
            <v>4.9553000000000003</v>
          </cell>
        </row>
        <row r="256">
          <cell r="G256">
            <v>8.0753000000000004</v>
          </cell>
        </row>
        <row r="257">
          <cell r="G257">
            <v>11.9153</v>
          </cell>
        </row>
        <row r="258">
          <cell r="G258">
            <v>5.9152999999999993</v>
          </cell>
        </row>
        <row r="259">
          <cell r="G259">
            <v>9.9953000000000003</v>
          </cell>
        </row>
        <row r="260">
          <cell r="G260">
            <v>9.5153000000000016</v>
          </cell>
        </row>
        <row r="261">
          <cell r="G261">
            <v>5.4353000000000007</v>
          </cell>
        </row>
        <row r="262">
          <cell r="G262">
            <v>7.1153000000000013</v>
          </cell>
        </row>
        <row r="263">
          <cell r="G263">
            <v>10.955299999999999</v>
          </cell>
        </row>
        <row r="264">
          <cell r="G264">
            <v>11.1953</v>
          </cell>
        </row>
        <row r="265">
          <cell r="G265">
            <v>10.235300000000001</v>
          </cell>
        </row>
        <row r="266">
          <cell r="G266">
            <v>10.235300000000001</v>
          </cell>
        </row>
        <row r="267">
          <cell r="G267">
            <v>8.0753000000000004</v>
          </cell>
        </row>
        <row r="268">
          <cell r="G268">
            <v>5.1952999999999996</v>
          </cell>
        </row>
        <row r="269">
          <cell r="G269">
            <v>6.8752999999999993</v>
          </cell>
        </row>
        <row r="270">
          <cell r="G270">
            <v>8.3153000000000006</v>
          </cell>
        </row>
        <row r="271">
          <cell r="G271">
            <v>6.3952999999999998</v>
          </cell>
        </row>
        <row r="272">
          <cell r="G272">
            <v>5.1952999999999996</v>
          </cell>
        </row>
        <row r="273">
          <cell r="G273">
            <v>9.0352999999999994</v>
          </cell>
        </row>
        <row r="274">
          <cell r="G274">
            <v>12.395299999999999</v>
          </cell>
        </row>
        <row r="275">
          <cell r="G275">
            <v>10.235300000000001</v>
          </cell>
        </row>
        <row r="276">
          <cell r="G276">
            <v>4.2353000000000005</v>
          </cell>
        </row>
        <row r="277">
          <cell r="G277">
            <v>8.0753000000000004</v>
          </cell>
        </row>
        <row r="278">
          <cell r="G278">
            <v>7.8353000000000002</v>
          </cell>
        </row>
        <row r="279">
          <cell r="G279">
            <v>6.1552999999999995</v>
          </cell>
        </row>
        <row r="280">
          <cell r="G280">
            <v>9.9953000000000003</v>
          </cell>
        </row>
        <row r="281">
          <cell r="G281">
            <v>6.8752999999999993</v>
          </cell>
        </row>
        <row r="282">
          <cell r="G282">
            <v>3.0352999999999999</v>
          </cell>
        </row>
        <row r="283">
          <cell r="G283">
            <v>4.2353000000000005</v>
          </cell>
        </row>
        <row r="284">
          <cell r="G284">
            <v>6.6353</v>
          </cell>
        </row>
        <row r="285">
          <cell r="G285">
            <v>6.8752999999999993</v>
          </cell>
        </row>
        <row r="286">
          <cell r="G286">
            <v>3.0352999999999999</v>
          </cell>
        </row>
        <row r="287">
          <cell r="G287">
            <v>4.7153</v>
          </cell>
        </row>
        <row r="288">
          <cell r="G288">
            <v>4.7153</v>
          </cell>
        </row>
        <row r="289">
          <cell r="G289">
            <v>6.3952999999999998</v>
          </cell>
        </row>
        <row r="290">
          <cell r="G290">
            <v>11.6753</v>
          </cell>
        </row>
        <row r="291">
          <cell r="G291">
            <v>8.3153000000000006</v>
          </cell>
        </row>
        <row r="292">
          <cell r="G292">
            <v>9.2752999999999997</v>
          </cell>
        </row>
        <row r="293">
          <cell r="G293">
            <v>6.6353</v>
          </cell>
        </row>
        <row r="294">
          <cell r="G294">
            <v>5.6753</v>
          </cell>
        </row>
        <row r="295">
          <cell r="G295">
            <v>7.5952999999999999</v>
          </cell>
        </row>
        <row r="296">
          <cell r="G296">
            <v>6.3952999999999998</v>
          </cell>
        </row>
        <row r="297">
          <cell r="G297">
            <v>11.1953</v>
          </cell>
        </row>
        <row r="298">
          <cell r="G298">
            <v>9.2752999999999997</v>
          </cell>
        </row>
        <row r="299">
          <cell r="G299">
            <v>9.0352999999999994</v>
          </cell>
        </row>
        <row r="300">
          <cell r="G300">
            <v>8.5553000000000008</v>
          </cell>
        </row>
        <row r="301">
          <cell r="G301">
            <v>6.1552999999999995</v>
          </cell>
        </row>
        <row r="302">
          <cell r="G302">
            <v>8.5553000000000008</v>
          </cell>
        </row>
        <row r="303">
          <cell r="G303">
            <v>3.7553000000000001</v>
          </cell>
        </row>
        <row r="304">
          <cell r="G304">
            <v>4.9553000000000003</v>
          </cell>
        </row>
        <row r="305">
          <cell r="G305">
            <v>3.2752999999999997</v>
          </cell>
        </row>
        <row r="306">
          <cell r="G306">
            <v>4.4752999999999998</v>
          </cell>
        </row>
        <row r="307">
          <cell r="G307">
            <v>4.9553000000000003</v>
          </cell>
        </row>
        <row r="308">
          <cell r="G308">
            <v>14.0753</v>
          </cell>
        </row>
        <row r="309">
          <cell r="G309">
            <v>4.7153</v>
          </cell>
        </row>
        <row r="310">
          <cell r="G310">
            <v>9.7553000000000001</v>
          </cell>
        </row>
        <row r="311">
          <cell r="G311">
            <v>10.235300000000001</v>
          </cell>
        </row>
        <row r="312">
          <cell r="G312">
            <v>5.4353000000000007</v>
          </cell>
        </row>
        <row r="313">
          <cell r="G313">
            <v>5.6753</v>
          </cell>
        </row>
        <row r="314">
          <cell r="G314">
            <v>7.5952999999999999</v>
          </cell>
        </row>
        <row r="315">
          <cell r="G315">
            <v>7.1153000000000013</v>
          </cell>
        </row>
        <row r="316">
          <cell r="G316">
            <v>11.6753</v>
          </cell>
        </row>
        <row r="317">
          <cell r="G317">
            <v>13.1153</v>
          </cell>
        </row>
        <row r="318">
          <cell r="G318">
            <v>4.4752999999999998</v>
          </cell>
        </row>
        <row r="319">
          <cell r="G319">
            <v>6.1552999999999995</v>
          </cell>
        </row>
        <row r="320">
          <cell r="G320">
            <v>5.4353000000000007</v>
          </cell>
        </row>
        <row r="321">
          <cell r="G321">
            <v>7.3552999999999997</v>
          </cell>
        </row>
        <row r="322">
          <cell r="G322">
            <v>5.6753</v>
          </cell>
        </row>
        <row r="323">
          <cell r="G323">
            <v>5.1952999999999996</v>
          </cell>
        </row>
        <row r="324">
          <cell r="G324">
            <v>4.7153</v>
          </cell>
        </row>
        <row r="325">
          <cell r="G325">
            <v>3.0352999999999999</v>
          </cell>
        </row>
        <row r="326">
          <cell r="G326">
            <v>4.7153</v>
          </cell>
        </row>
        <row r="327">
          <cell r="G327">
            <v>5.1952999999999996</v>
          </cell>
        </row>
        <row r="328">
          <cell r="G328">
            <v>9.5153000000000016</v>
          </cell>
        </row>
        <row r="329">
          <cell r="G329">
            <v>7.8353000000000002</v>
          </cell>
        </row>
        <row r="330">
          <cell r="G330">
            <v>12.1553</v>
          </cell>
        </row>
        <row r="331">
          <cell r="G331">
            <v>9.0352999999999994</v>
          </cell>
        </row>
        <row r="332">
          <cell r="G332">
            <v>9.7553000000000001</v>
          </cell>
        </row>
        <row r="333">
          <cell r="G333">
            <v>7.8353000000000002</v>
          </cell>
        </row>
        <row r="334">
          <cell r="G334">
            <v>6.3952999999999998</v>
          </cell>
        </row>
        <row r="335">
          <cell r="G335">
            <v>6.6353</v>
          </cell>
        </row>
        <row r="336">
          <cell r="G336">
            <v>16.715299999999999</v>
          </cell>
        </row>
        <row r="337">
          <cell r="G337">
            <v>7.8353000000000002</v>
          </cell>
        </row>
        <row r="338">
          <cell r="G338">
            <v>9.5153000000000016</v>
          </cell>
        </row>
        <row r="339">
          <cell r="G339">
            <v>6.8752999999999993</v>
          </cell>
        </row>
        <row r="340">
          <cell r="G340">
            <v>5.1952999999999996</v>
          </cell>
        </row>
        <row r="341">
          <cell r="G341">
            <v>5.1952999999999996</v>
          </cell>
        </row>
        <row r="342">
          <cell r="G342">
            <v>9.5153000000000016</v>
          </cell>
        </row>
        <row r="343">
          <cell r="G343">
            <v>9.0352999999999994</v>
          </cell>
        </row>
        <row r="344">
          <cell r="G344">
            <v>14.0753</v>
          </cell>
        </row>
        <row r="345">
          <cell r="G345">
            <v>6.3952999999999998</v>
          </cell>
        </row>
        <row r="346">
          <cell r="G346">
            <v>7.1153000000000013</v>
          </cell>
        </row>
        <row r="347">
          <cell r="G347">
            <v>8.5553000000000008</v>
          </cell>
        </row>
        <row r="348">
          <cell r="G348">
            <v>5.6753</v>
          </cell>
        </row>
        <row r="349">
          <cell r="G349">
            <v>10.235300000000001</v>
          </cell>
        </row>
        <row r="350">
          <cell r="G350">
            <v>7.1153000000000013</v>
          </cell>
        </row>
        <row r="351">
          <cell r="G351">
            <v>4.7153</v>
          </cell>
        </row>
        <row r="352">
          <cell r="G352">
            <v>6.1552999999999995</v>
          </cell>
        </row>
        <row r="353">
          <cell r="G353">
            <v>5.4353000000000007</v>
          </cell>
        </row>
        <row r="354">
          <cell r="G354">
            <v>4.7153</v>
          </cell>
        </row>
        <row r="355">
          <cell r="G355">
            <v>12.1553</v>
          </cell>
        </row>
        <row r="356">
          <cell r="G356">
            <v>5.1952999999999996</v>
          </cell>
        </row>
        <row r="357">
          <cell r="G357">
            <v>3.9953000000000003</v>
          </cell>
        </row>
        <row r="358">
          <cell r="G358">
            <v>5.1952999999999996</v>
          </cell>
        </row>
        <row r="359">
          <cell r="G359">
            <v>7.8353000000000002</v>
          </cell>
        </row>
        <row r="360">
          <cell r="G360">
            <v>4.4752999999999998</v>
          </cell>
        </row>
        <row r="361">
          <cell r="G361">
            <v>4.4752999999999998</v>
          </cell>
        </row>
        <row r="362">
          <cell r="G362">
            <v>8.0753000000000004</v>
          </cell>
        </row>
        <row r="363">
          <cell r="G363">
            <v>4.9553000000000003</v>
          </cell>
        </row>
        <row r="364">
          <cell r="G364">
            <v>2.7953000000000001</v>
          </cell>
        </row>
        <row r="365">
          <cell r="G365">
            <v>9.5153000000000016</v>
          </cell>
        </row>
        <row r="366">
          <cell r="G366">
            <v>9.2752999999999997</v>
          </cell>
        </row>
        <row r="367">
          <cell r="G367">
            <v>5.1952999999999996</v>
          </cell>
        </row>
        <row r="368">
          <cell r="G368">
            <v>9.0352999999999994</v>
          </cell>
        </row>
        <row r="369">
          <cell r="G369">
            <v>5.6753</v>
          </cell>
        </row>
        <row r="370">
          <cell r="G370">
            <v>6.1552999999999995</v>
          </cell>
        </row>
        <row r="371">
          <cell r="G371">
            <v>5.9152999999999993</v>
          </cell>
        </row>
        <row r="372">
          <cell r="G372">
            <v>6.1552999999999995</v>
          </cell>
        </row>
        <row r="373">
          <cell r="G373">
            <v>7.5952999999999999</v>
          </cell>
        </row>
        <row r="374">
          <cell r="G374">
            <v>11.1953</v>
          </cell>
        </row>
        <row r="375">
          <cell r="G375">
            <v>5.9152999999999993</v>
          </cell>
        </row>
        <row r="376">
          <cell r="G376">
            <v>7.1153000000000013</v>
          </cell>
        </row>
        <row r="377">
          <cell r="G377">
            <v>9.5153000000000016</v>
          </cell>
        </row>
        <row r="378">
          <cell r="G378">
            <v>6.8752999999999993</v>
          </cell>
        </row>
        <row r="379">
          <cell r="G379">
            <v>8.3153000000000006</v>
          </cell>
        </row>
        <row r="380">
          <cell r="G380">
            <v>5.1952999999999996</v>
          </cell>
        </row>
        <row r="381">
          <cell r="G381">
            <v>5.6753</v>
          </cell>
        </row>
        <row r="382">
          <cell r="G382">
            <v>6.6353</v>
          </cell>
        </row>
        <row r="383">
          <cell r="G383">
            <v>7.5952999999999999</v>
          </cell>
        </row>
        <row r="384">
          <cell r="G384">
            <v>7.5952999999999999</v>
          </cell>
        </row>
        <row r="385">
          <cell r="G385">
            <v>6.6353</v>
          </cell>
        </row>
        <row r="386">
          <cell r="G386">
            <v>7.3552999999999997</v>
          </cell>
        </row>
        <row r="387">
          <cell r="G387">
            <v>3.9953000000000003</v>
          </cell>
        </row>
        <row r="388">
          <cell r="G388">
            <v>9.5153000000000016</v>
          </cell>
        </row>
        <row r="389">
          <cell r="G389">
            <v>7.3552999999999997</v>
          </cell>
        </row>
        <row r="390">
          <cell r="G390">
            <v>3.0352999999999999</v>
          </cell>
        </row>
        <row r="391">
          <cell r="G391">
            <v>5.1952999999999996</v>
          </cell>
        </row>
        <row r="392">
          <cell r="G392">
            <v>6.1552999999999995</v>
          </cell>
        </row>
        <row r="393">
          <cell r="G393">
            <v>5.1952999999999996</v>
          </cell>
        </row>
        <row r="394">
          <cell r="G394">
            <v>7.3552999999999997</v>
          </cell>
        </row>
        <row r="395">
          <cell r="G395">
            <v>4.7153</v>
          </cell>
        </row>
        <row r="396">
          <cell r="G396">
            <v>6.1552999999999995</v>
          </cell>
        </row>
        <row r="397">
          <cell r="G397">
            <v>9.2752999999999997</v>
          </cell>
        </row>
        <row r="398">
          <cell r="G398">
            <v>6.8752999999999993</v>
          </cell>
        </row>
        <row r="399">
          <cell r="G399">
            <v>9.5153000000000016</v>
          </cell>
        </row>
        <row r="400">
          <cell r="G400">
            <v>9.9953000000000003</v>
          </cell>
        </row>
        <row r="401">
          <cell r="G401">
            <v>10.235300000000001</v>
          </cell>
        </row>
        <row r="402">
          <cell r="G402">
            <v>13.1153</v>
          </cell>
        </row>
        <row r="403">
          <cell r="G403">
            <v>7.3552999999999997</v>
          </cell>
        </row>
        <row r="404">
          <cell r="G404">
            <v>6.3952999999999998</v>
          </cell>
        </row>
        <row r="405">
          <cell r="G405">
            <v>7.8353000000000002</v>
          </cell>
        </row>
        <row r="406">
          <cell r="G406">
            <v>7.3552999999999997</v>
          </cell>
        </row>
        <row r="407">
          <cell r="G407">
            <v>9.0352999999999994</v>
          </cell>
        </row>
        <row r="408">
          <cell r="G408">
            <v>13.1153</v>
          </cell>
        </row>
        <row r="409">
          <cell r="G409">
            <v>12.1553</v>
          </cell>
        </row>
        <row r="410">
          <cell r="G410">
            <v>15.9953</v>
          </cell>
        </row>
        <row r="411">
          <cell r="G411">
            <v>11.1953</v>
          </cell>
        </row>
        <row r="412">
          <cell r="G412">
            <v>7.3552999999999997</v>
          </cell>
        </row>
        <row r="413">
          <cell r="G413">
            <v>8.795300000000001</v>
          </cell>
        </row>
        <row r="414">
          <cell r="G414">
            <v>11.4353</v>
          </cell>
        </row>
        <row r="415">
          <cell r="G415">
            <v>4.2353000000000005</v>
          </cell>
        </row>
        <row r="416">
          <cell r="G416">
            <v>7.1153000000000013</v>
          </cell>
        </row>
        <row r="417">
          <cell r="G417">
            <v>5.1952999999999996</v>
          </cell>
        </row>
        <row r="418">
          <cell r="G418">
            <v>6.1552999999999995</v>
          </cell>
        </row>
        <row r="419">
          <cell r="G419">
            <v>6.6353</v>
          </cell>
        </row>
        <row r="420">
          <cell r="G420">
            <v>10.235300000000001</v>
          </cell>
        </row>
        <row r="421">
          <cell r="G421">
            <v>9.9953000000000003</v>
          </cell>
        </row>
        <row r="422">
          <cell r="G422">
            <v>5.1952999999999996</v>
          </cell>
        </row>
        <row r="423">
          <cell r="G423">
            <v>13.3553</v>
          </cell>
        </row>
        <row r="424">
          <cell r="G424">
            <v>7.8353000000000002</v>
          </cell>
        </row>
        <row r="425">
          <cell r="G425">
            <v>6.3952999999999998</v>
          </cell>
        </row>
        <row r="426">
          <cell r="G426">
            <v>9.2752999999999997</v>
          </cell>
        </row>
        <row r="427">
          <cell r="G427">
            <v>5.9152999999999993</v>
          </cell>
        </row>
        <row r="428">
          <cell r="G428">
            <v>6.1552999999999995</v>
          </cell>
        </row>
        <row r="429">
          <cell r="G429">
            <v>6.8752999999999993</v>
          </cell>
        </row>
        <row r="430">
          <cell r="G430">
            <v>5.1952999999999996</v>
          </cell>
        </row>
        <row r="431">
          <cell r="G431">
            <v>6.3952999999999998</v>
          </cell>
        </row>
        <row r="432">
          <cell r="G432">
            <v>5.6753</v>
          </cell>
        </row>
        <row r="433">
          <cell r="G433">
            <v>3.5152999999999999</v>
          </cell>
        </row>
        <row r="434">
          <cell r="G434">
            <v>8.0753000000000004</v>
          </cell>
        </row>
        <row r="435">
          <cell r="G435">
            <v>6.8752999999999993</v>
          </cell>
        </row>
        <row r="436">
          <cell r="G436">
            <v>7.8353000000000002</v>
          </cell>
        </row>
        <row r="437">
          <cell r="G437">
            <v>6.6353</v>
          </cell>
        </row>
        <row r="438">
          <cell r="G438">
            <v>9.0352999999999994</v>
          </cell>
        </row>
        <row r="439">
          <cell r="G439">
            <v>6.6353</v>
          </cell>
        </row>
        <row r="440">
          <cell r="G440">
            <v>8.0753000000000004</v>
          </cell>
        </row>
        <row r="441">
          <cell r="G441">
            <v>4.2353000000000005</v>
          </cell>
        </row>
        <row r="442">
          <cell r="G442">
            <v>8.795300000000001</v>
          </cell>
        </row>
        <row r="443">
          <cell r="G443">
            <v>6.6353</v>
          </cell>
        </row>
        <row r="444">
          <cell r="G444">
            <v>6.6353</v>
          </cell>
        </row>
        <row r="445">
          <cell r="G445">
            <v>12.875300000000003</v>
          </cell>
        </row>
        <row r="446">
          <cell r="G446">
            <v>7.3552999999999997</v>
          </cell>
        </row>
        <row r="447">
          <cell r="G447">
            <v>3.2752999999999997</v>
          </cell>
        </row>
        <row r="448">
          <cell r="G448">
            <v>4.4752999999999998</v>
          </cell>
        </row>
        <row r="449">
          <cell r="G449">
            <v>4.9553000000000003</v>
          </cell>
        </row>
        <row r="450">
          <cell r="G450">
            <v>2.7953000000000001</v>
          </cell>
        </row>
        <row r="451">
          <cell r="G451">
            <v>5.9152999999999993</v>
          </cell>
        </row>
        <row r="452">
          <cell r="G452">
            <v>4.7153</v>
          </cell>
        </row>
        <row r="453">
          <cell r="G453">
            <v>5.9152999999999993</v>
          </cell>
        </row>
        <row r="454">
          <cell r="G454">
            <v>5.6753</v>
          </cell>
        </row>
        <row r="455">
          <cell r="G455">
            <v>9.2752999999999997</v>
          </cell>
        </row>
        <row r="456">
          <cell r="G456">
            <v>6.6353</v>
          </cell>
        </row>
        <row r="457">
          <cell r="G457">
            <v>7.3552999999999997</v>
          </cell>
        </row>
        <row r="458">
          <cell r="G458">
            <v>6.6353</v>
          </cell>
        </row>
        <row r="459">
          <cell r="G459">
            <v>10.235300000000001</v>
          </cell>
        </row>
        <row r="460">
          <cell r="G460">
            <v>8.5553000000000008</v>
          </cell>
        </row>
        <row r="461">
          <cell r="G461">
            <v>9.0352999999999994</v>
          </cell>
        </row>
        <row r="462">
          <cell r="G462">
            <v>6.3952999999999998</v>
          </cell>
        </row>
        <row r="463">
          <cell r="G463">
            <v>5.1952999999999996</v>
          </cell>
        </row>
        <row r="464">
          <cell r="G464">
            <v>5.4353000000000007</v>
          </cell>
        </row>
        <row r="465">
          <cell r="G465">
            <v>4.2353000000000005</v>
          </cell>
        </row>
        <row r="466">
          <cell r="G466">
            <v>4.7153</v>
          </cell>
        </row>
        <row r="467">
          <cell r="G467">
            <v>7.5952999999999999</v>
          </cell>
        </row>
        <row r="468">
          <cell r="G468">
            <v>7.5952999999999999</v>
          </cell>
        </row>
        <row r="469">
          <cell r="G469">
            <v>7.3552999999999997</v>
          </cell>
        </row>
        <row r="470">
          <cell r="G470">
            <v>6.3952999999999998</v>
          </cell>
        </row>
        <row r="471">
          <cell r="G471">
            <v>7.3552999999999997</v>
          </cell>
        </row>
        <row r="472">
          <cell r="G472">
            <v>9.7553000000000001</v>
          </cell>
        </row>
        <row r="473">
          <cell r="G473">
            <v>4.4752999999999998</v>
          </cell>
        </row>
        <row r="474">
          <cell r="G474">
            <v>7.8353000000000002</v>
          </cell>
        </row>
        <row r="475">
          <cell r="G475">
            <v>7.8353000000000002</v>
          </cell>
        </row>
        <row r="476">
          <cell r="G476">
            <v>4.4752999999999998</v>
          </cell>
        </row>
        <row r="477">
          <cell r="G477">
            <v>5.4353000000000007</v>
          </cell>
        </row>
        <row r="478">
          <cell r="G478">
            <v>6.3952999999999998</v>
          </cell>
        </row>
        <row r="479">
          <cell r="G479">
            <v>6.8752999999999993</v>
          </cell>
        </row>
        <row r="480">
          <cell r="G480">
            <v>5.6753</v>
          </cell>
        </row>
        <row r="481">
          <cell r="G481">
            <v>5.9152999999999993</v>
          </cell>
        </row>
        <row r="482">
          <cell r="G482">
            <v>6.8752999999999993</v>
          </cell>
        </row>
        <row r="483">
          <cell r="G483">
            <v>8.0753000000000004</v>
          </cell>
        </row>
        <row r="484">
          <cell r="G484">
            <v>8.3153000000000006</v>
          </cell>
        </row>
        <row r="485">
          <cell r="G485">
            <v>8.5553000000000008</v>
          </cell>
        </row>
        <row r="486">
          <cell r="G486">
            <v>8.3153000000000006</v>
          </cell>
        </row>
        <row r="487">
          <cell r="G487">
            <v>8.3153000000000006</v>
          </cell>
        </row>
        <row r="488">
          <cell r="G488">
            <v>7.1153000000000013</v>
          </cell>
        </row>
        <row r="489">
          <cell r="G489">
            <v>5.9152999999999993</v>
          </cell>
        </row>
        <row r="490">
          <cell r="G490">
            <v>10.235300000000001</v>
          </cell>
        </row>
        <row r="491">
          <cell r="G491">
            <v>7.5952999999999999</v>
          </cell>
        </row>
        <row r="492">
          <cell r="G492">
            <v>8.3153000000000006</v>
          </cell>
        </row>
        <row r="493">
          <cell r="G493">
            <v>11.1953</v>
          </cell>
        </row>
        <row r="494">
          <cell r="G494">
            <v>7.1153000000000013</v>
          </cell>
        </row>
        <row r="495">
          <cell r="G495">
            <v>11.9153</v>
          </cell>
        </row>
        <row r="496">
          <cell r="G496">
            <v>6.8752999999999993</v>
          </cell>
        </row>
        <row r="497">
          <cell r="G497">
            <v>7.3552999999999997</v>
          </cell>
        </row>
        <row r="498">
          <cell r="G498">
            <v>4.9553000000000003</v>
          </cell>
        </row>
        <row r="499">
          <cell r="G499">
            <v>5.6753</v>
          </cell>
        </row>
        <row r="500">
          <cell r="G500">
            <v>8.0753000000000004</v>
          </cell>
        </row>
        <row r="501">
          <cell r="G501">
            <v>5.9152999999999993</v>
          </cell>
        </row>
        <row r="502">
          <cell r="G502">
            <v>4.7153</v>
          </cell>
        </row>
        <row r="503">
          <cell r="G503">
            <v>4.9553000000000003</v>
          </cell>
        </row>
        <row r="504">
          <cell r="G504">
            <v>5.6753</v>
          </cell>
        </row>
        <row r="505">
          <cell r="G505">
            <v>5.7189363636363639</v>
          </cell>
        </row>
      </sheetData>
      <sheetData sheetId="1"/>
      <sheetData sheetId="2">
        <row r="3">
          <cell r="B3">
            <v>3.3472999999999997</v>
          </cell>
          <cell r="C3" t="str">
            <v>B</v>
          </cell>
        </row>
        <row r="4">
          <cell r="B4">
            <v>3.5632999999999999</v>
          </cell>
          <cell r="C4" t="str">
            <v>B</v>
          </cell>
        </row>
        <row r="5">
          <cell r="B5">
            <v>3.4192999999999998</v>
          </cell>
          <cell r="C5" t="str">
            <v>B</v>
          </cell>
        </row>
        <row r="6">
          <cell r="B6">
            <v>3.8993000000000002</v>
          </cell>
          <cell r="C6" t="str">
            <v>B</v>
          </cell>
        </row>
        <row r="7">
          <cell r="B7">
            <v>4.0913000000000004</v>
          </cell>
          <cell r="C7" t="str">
            <v>S</v>
          </cell>
        </row>
        <row r="8">
          <cell r="B8">
            <v>3.2752999999999997</v>
          </cell>
          <cell r="C8" t="str">
            <v>B</v>
          </cell>
        </row>
        <row r="9">
          <cell r="B9">
            <v>4.1633000000000004</v>
          </cell>
          <cell r="C9" t="str">
            <v>S</v>
          </cell>
        </row>
        <row r="10">
          <cell r="B10">
            <v>4.6913</v>
          </cell>
          <cell r="C10" t="str">
            <v>S</v>
          </cell>
        </row>
        <row r="11">
          <cell r="B11">
            <v>3.8033000000000001</v>
          </cell>
          <cell r="C11" t="str">
            <v>B</v>
          </cell>
        </row>
        <row r="12">
          <cell r="B12">
            <v>3.9473000000000003</v>
          </cell>
          <cell r="C12" t="str">
            <v>B</v>
          </cell>
        </row>
        <row r="13">
          <cell r="B13">
            <v>4.7873000000000001</v>
          </cell>
          <cell r="C13" t="str">
            <v>S</v>
          </cell>
        </row>
        <row r="14">
          <cell r="B14">
            <v>4.9073000000000002</v>
          </cell>
          <cell r="C14" t="str">
            <v>S</v>
          </cell>
        </row>
        <row r="15">
          <cell r="B15">
            <v>3.6113</v>
          </cell>
          <cell r="C15" t="str">
            <v>B</v>
          </cell>
        </row>
        <row r="16">
          <cell r="B16">
            <v>4.2112999999999996</v>
          </cell>
          <cell r="C16" t="str">
            <v>S</v>
          </cell>
        </row>
        <row r="17">
          <cell r="B17">
            <v>3.4912999999999998</v>
          </cell>
          <cell r="C17" t="str">
            <v>B</v>
          </cell>
        </row>
        <row r="18">
          <cell r="B18">
            <v>6.2512999999999996</v>
          </cell>
          <cell r="C18" t="str">
            <v>S</v>
          </cell>
        </row>
        <row r="19">
          <cell r="B19">
            <v>3.8753000000000002</v>
          </cell>
          <cell r="C19" t="str">
            <v>B</v>
          </cell>
        </row>
        <row r="20">
          <cell r="B20">
            <v>7.8833000000000002</v>
          </cell>
          <cell r="C20" t="str">
            <v>RR</v>
          </cell>
        </row>
        <row r="21">
          <cell r="B21">
            <v>6.0352999999999994</v>
          </cell>
          <cell r="C21" t="str">
            <v>S</v>
          </cell>
        </row>
        <row r="22">
          <cell r="B22">
            <v>8.1233000000000004</v>
          </cell>
          <cell r="C22" t="str">
            <v>RR</v>
          </cell>
        </row>
        <row r="23">
          <cell r="B23">
            <v>6.6833</v>
          </cell>
          <cell r="C23" t="str">
            <v>S</v>
          </cell>
        </row>
        <row r="24">
          <cell r="B24">
            <v>6.6353</v>
          </cell>
          <cell r="C24" t="str">
            <v>S</v>
          </cell>
        </row>
        <row r="25">
          <cell r="B25">
            <v>7.2592999999999996</v>
          </cell>
          <cell r="C25" t="str">
            <v>RR</v>
          </cell>
        </row>
        <row r="26">
          <cell r="B26">
            <v>8.795300000000001</v>
          </cell>
          <cell r="C26" t="str">
            <v>RR</v>
          </cell>
        </row>
        <row r="27">
          <cell r="B27">
            <v>7.8593000000000002</v>
          </cell>
          <cell r="C27" t="str">
            <v>RR</v>
          </cell>
        </row>
        <row r="28">
          <cell r="B28">
            <v>5.6273</v>
          </cell>
          <cell r="C28" t="str">
            <v>S</v>
          </cell>
        </row>
        <row r="29">
          <cell r="B29">
            <v>8.2432999999999996</v>
          </cell>
          <cell r="C29" t="str">
            <v>RR</v>
          </cell>
        </row>
        <row r="30">
          <cell r="B30">
            <v>6.7793000000000001</v>
          </cell>
          <cell r="C30" t="str">
            <v>S</v>
          </cell>
        </row>
        <row r="31">
          <cell r="B31">
            <v>7.9793000000000003</v>
          </cell>
          <cell r="C31" t="str">
            <v>RR</v>
          </cell>
        </row>
        <row r="32">
          <cell r="B32">
            <v>5.6993</v>
          </cell>
          <cell r="C32" t="str">
            <v>S</v>
          </cell>
        </row>
        <row r="33">
          <cell r="B33">
            <v>9.3712999999999997</v>
          </cell>
          <cell r="C33" t="str">
            <v>RB</v>
          </cell>
        </row>
        <row r="34">
          <cell r="B34">
            <v>7.7633000000000001</v>
          </cell>
          <cell r="C34" t="str">
            <v>RR</v>
          </cell>
        </row>
        <row r="35">
          <cell r="B35">
            <v>6.4912999999999998</v>
          </cell>
          <cell r="C35" t="str">
            <v>S</v>
          </cell>
        </row>
        <row r="36">
          <cell r="B36">
            <v>6.5632999999999999</v>
          </cell>
          <cell r="C36" t="str">
            <v>S</v>
          </cell>
        </row>
        <row r="37">
          <cell r="B37">
            <v>7.2112999999999996</v>
          </cell>
          <cell r="C37" t="str">
            <v>RR</v>
          </cell>
        </row>
        <row r="38">
          <cell r="B38">
            <v>6.8513000000000002</v>
          </cell>
          <cell r="C38" t="str">
            <v>S</v>
          </cell>
        </row>
        <row r="39">
          <cell r="B39">
            <v>6.1312999999999995</v>
          </cell>
          <cell r="C39" t="str">
            <v>S</v>
          </cell>
        </row>
        <row r="40">
          <cell r="B40">
            <v>9.3953000000000007</v>
          </cell>
          <cell r="C40" t="str">
            <v>RB</v>
          </cell>
        </row>
        <row r="41">
          <cell r="B41">
            <v>8.9633000000000003</v>
          </cell>
          <cell r="C41" t="str">
            <v>RR</v>
          </cell>
        </row>
        <row r="42">
          <cell r="B42">
            <v>8.0992999999999995</v>
          </cell>
          <cell r="C42" t="str">
            <v>RR</v>
          </cell>
        </row>
        <row r="43">
          <cell r="B43">
            <v>6.6113</v>
          </cell>
          <cell r="C43" t="str">
            <v>S</v>
          </cell>
        </row>
        <row r="44">
          <cell r="B44">
            <v>6.8993000000000002</v>
          </cell>
          <cell r="C44" t="str">
            <v>S</v>
          </cell>
        </row>
        <row r="45">
          <cell r="B45">
            <v>5.9872999999999994</v>
          </cell>
          <cell r="C45" t="str">
            <v>S</v>
          </cell>
        </row>
        <row r="46">
          <cell r="B46">
            <v>6.8993000000000002</v>
          </cell>
          <cell r="C46" t="str">
            <v>S</v>
          </cell>
        </row>
        <row r="47">
          <cell r="B47">
            <v>6.7313000000000001</v>
          </cell>
          <cell r="C47" t="str">
            <v>S</v>
          </cell>
        </row>
        <row r="48">
          <cell r="B48">
            <v>7.4032999999999998</v>
          </cell>
          <cell r="C48" t="str">
            <v>RR</v>
          </cell>
        </row>
        <row r="49">
          <cell r="B49">
            <v>8.1472999999999995</v>
          </cell>
          <cell r="C49" t="str">
            <v>RR</v>
          </cell>
        </row>
        <row r="50">
          <cell r="B50">
            <v>5.8292336492890993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0"/>
  <sheetViews>
    <sheetView tabSelected="1" topLeftCell="A6" zoomScaleNormal="100" zoomScaleSheetLayoutView="100" workbookViewId="0">
      <pane ySplit="1620" activePane="bottomLeft"/>
      <selection activeCell="M8" sqref="M8"/>
      <selection pane="bottomLeft" activeCell="J10" sqref="J10"/>
    </sheetView>
  </sheetViews>
  <sheetFormatPr defaultColWidth="9.140625" defaultRowHeight="20.100000000000001" customHeight="1" x14ac:dyDescent="0.2"/>
  <cols>
    <col min="1" max="1" width="1" style="93" customWidth="1"/>
    <col min="2" max="2" width="7.42578125" style="93" customWidth="1"/>
    <col min="3" max="3" width="7.5703125" style="93" customWidth="1"/>
    <col min="4" max="4" width="10.7109375" style="93" customWidth="1"/>
    <col min="5" max="5" width="2.7109375" style="93" customWidth="1"/>
    <col min="6" max="6" width="14.28515625" style="93" customWidth="1"/>
    <col min="7" max="7" width="24.28515625" style="93" bestFit="1" customWidth="1"/>
    <col min="8" max="8" width="9.5703125" style="93" customWidth="1"/>
    <col min="9" max="9" width="9.85546875" style="93" customWidth="1"/>
    <col min="10" max="10" width="8.7109375" style="93" customWidth="1"/>
    <col min="11" max="11" width="8.7109375" style="374" hidden="1" customWidth="1"/>
    <col min="12" max="12" width="7.5703125" style="93" customWidth="1"/>
    <col min="13" max="13" width="6.85546875" style="93" bestFit="1" customWidth="1"/>
    <col min="14" max="14" width="8.42578125" style="93" customWidth="1"/>
    <col min="15" max="15" width="8.42578125" style="374" hidden="1" customWidth="1"/>
    <col min="16" max="16" width="7.5703125" style="93" bestFit="1" customWidth="1"/>
    <col min="17" max="17" width="6.85546875" style="93" customWidth="1"/>
    <col min="18" max="18" width="7.5703125" style="93" bestFit="1" customWidth="1"/>
    <col min="19" max="19" width="6.85546875" style="93" bestFit="1" customWidth="1"/>
    <col min="20" max="21" width="6.85546875" style="93" customWidth="1"/>
    <col min="22" max="22" width="7.5703125" style="93" bestFit="1" customWidth="1"/>
    <col min="23" max="23" width="7.42578125" style="93" customWidth="1"/>
    <col min="24" max="24" width="5.5703125" style="93" bestFit="1" customWidth="1"/>
    <col min="25" max="25" width="6.85546875" style="93" bestFit="1" customWidth="1"/>
    <col min="26" max="26" width="7.28515625" style="93" customWidth="1"/>
    <col min="27" max="27" width="2.7109375" style="171" customWidth="1"/>
    <col min="28" max="28" width="7.85546875" style="93" customWidth="1"/>
    <col min="29" max="29" width="7.5703125" style="93" customWidth="1"/>
    <col min="30" max="30" width="9.85546875" style="93" bestFit="1" customWidth="1"/>
    <col min="31" max="33" width="9.28515625" style="93" bestFit="1" customWidth="1"/>
    <col min="34" max="34" width="9.85546875" style="94" bestFit="1" customWidth="1"/>
    <col min="35" max="35" width="11.7109375" style="94" customWidth="1"/>
    <col min="36" max="36" width="12.85546875" style="94" bestFit="1" customWidth="1"/>
    <col min="37" max="37" width="12" style="94" bestFit="1" customWidth="1"/>
    <col min="38" max="16384" width="9.140625" style="93"/>
  </cols>
  <sheetData>
    <row r="1" spans="1:38" ht="25.5" x14ac:dyDescent="0.35">
      <c r="B1" s="412" t="s">
        <v>354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38" ht="25.5" x14ac:dyDescent="0.35">
      <c r="B2" s="97" t="s">
        <v>125</v>
      </c>
      <c r="C2" s="95"/>
      <c r="D2" s="98" t="s">
        <v>196</v>
      </c>
      <c r="E2" s="98"/>
      <c r="F2" s="98"/>
      <c r="G2" s="96"/>
      <c r="H2" s="96"/>
      <c r="I2" s="355"/>
      <c r="J2" s="96"/>
      <c r="K2" s="365"/>
      <c r="L2" s="96"/>
      <c r="M2" s="96"/>
      <c r="N2" s="96"/>
      <c r="O2" s="365"/>
      <c r="P2" s="96"/>
      <c r="Q2" s="355"/>
      <c r="R2" s="355"/>
      <c r="S2" s="355"/>
      <c r="T2" s="355"/>
      <c r="U2" s="355"/>
      <c r="V2" s="355"/>
      <c r="W2" s="355"/>
      <c r="X2" s="96"/>
      <c r="Y2" s="96"/>
      <c r="Z2" s="96"/>
    </row>
    <row r="3" spans="1:38" ht="25.5" x14ac:dyDescent="0.35">
      <c r="B3" s="97" t="s">
        <v>126</v>
      </c>
      <c r="C3" s="95"/>
      <c r="D3" s="98" t="s">
        <v>197</v>
      </c>
      <c r="E3" s="98"/>
      <c r="F3" s="98"/>
      <c r="G3" s="96"/>
      <c r="H3" s="96"/>
      <c r="I3" s="355"/>
      <c r="J3" s="96"/>
      <c r="K3" s="365"/>
      <c r="L3" s="96"/>
      <c r="M3" s="96"/>
      <c r="N3" s="96"/>
      <c r="O3" s="365"/>
      <c r="P3" s="96"/>
      <c r="Q3" s="355"/>
      <c r="R3" s="355"/>
      <c r="S3" s="355"/>
      <c r="T3" s="355"/>
      <c r="U3" s="355"/>
      <c r="V3" s="355"/>
      <c r="W3" s="355"/>
      <c r="X3" s="96"/>
      <c r="Y3" s="96"/>
      <c r="Z3" s="96"/>
    </row>
    <row r="4" spans="1:38" ht="18" x14ac:dyDescent="0.2">
      <c r="B4" s="99" t="s">
        <v>127</v>
      </c>
      <c r="D4" s="100" t="s">
        <v>355</v>
      </c>
      <c r="E4" s="100"/>
      <c r="F4" s="100"/>
      <c r="H4" s="101"/>
      <c r="J4" s="102"/>
      <c r="K4" s="366"/>
      <c r="L4" s="102"/>
      <c r="M4" s="102"/>
      <c r="N4" s="102"/>
      <c r="O4" s="366"/>
      <c r="P4" s="102"/>
      <c r="Q4" s="102"/>
      <c r="R4" s="102"/>
      <c r="S4" s="102"/>
      <c r="T4" s="102"/>
      <c r="U4" s="102"/>
      <c r="V4" s="103"/>
      <c r="W4" s="102"/>
      <c r="X4" s="102"/>
      <c r="Y4" s="413" t="s">
        <v>128</v>
      </c>
      <c r="Z4" s="414"/>
    </row>
    <row r="5" spans="1:38" ht="13.5" thickBot="1" x14ac:dyDescent="0.25">
      <c r="J5" s="102"/>
      <c r="K5" s="366"/>
      <c r="L5" s="102"/>
      <c r="M5" s="102"/>
      <c r="N5" s="102"/>
      <c r="O5" s="366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38" ht="13.5" thickTop="1" x14ac:dyDescent="0.2">
      <c r="A6" s="104"/>
      <c r="B6" s="105"/>
      <c r="C6" s="106"/>
      <c r="D6" s="107"/>
      <c r="E6" s="108"/>
      <c r="F6" s="109"/>
      <c r="G6" s="106"/>
      <c r="H6" s="110"/>
      <c r="I6" s="107"/>
      <c r="J6" s="415" t="s">
        <v>129</v>
      </c>
      <c r="K6" s="416"/>
      <c r="L6" s="416"/>
      <c r="M6" s="416"/>
      <c r="N6" s="416"/>
      <c r="O6" s="376"/>
      <c r="P6" s="417" t="s">
        <v>130</v>
      </c>
      <c r="Q6" s="418"/>
      <c r="R6" s="418"/>
      <c r="S6" s="418"/>
      <c r="T6" s="418"/>
      <c r="U6" s="418"/>
      <c r="V6" s="418"/>
      <c r="W6" s="419"/>
      <c r="X6" s="111"/>
      <c r="Y6" s="112"/>
      <c r="Z6" s="113"/>
      <c r="AF6" s="114"/>
      <c r="AG6" s="114"/>
      <c r="AJ6" s="115"/>
      <c r="AK6" s="115"/>
    </row>
    <row r="7" spans="1:38" ht="12.75" x14ac:dyDescent="0.2">
      <c r="A7" s="104"/>
      <c r="B7" s="116" t="s">
        <v>131</v>
      </c>
      <c r="C7" s="117" t="s">
        <v>131</v>
      </c>
      <c r="D7" s="118" t="s">
        <v>132</v>
      </c>
      <c r="E7" s="119"/>
      <c r="F7" s="120"/>
      <c r="G7" s="117" t="s">
        <v>133</v>
      </c>
      <c r="H7" s="117" t="s">
        <v>134</v>
      </c>
      <c r="I7" s="121" t="s">
        <v>77</v>
      </c>
      <c r="J7" s="116" t="s">
        <v>135</v>
      </c>
      <c r="K7" s="367"/>
      <c r="L7" s="122"/>
      <c r="M7" s="122" t="s">
        <v>136</v>
      </c>
      <c r="N7" s="123" t="s">
        <v>137</v>
      </c>
      <c r="O7" s="377"/>
      <c r="P7" s="420" t="s">
        <v>138</v>
      </c>
      <c r="Q7" s="421"/>
      <c r="R7" s="424" t="s">
        <v>139</v>
      </c>
      <c r="S7" s="421"/>
      <c r="T7" s="424" t="s">
        <v>140</v>
      </c>
      <c r="U7" s="421"/>
      <c r="V7" s="424" t="s">
        <v>141</v>
      </c>
      <c r="W7" s="426"/>
      <c r="X7" s="122" t="s">
        <v>142</v>
      </c>
      <c r="Y7" s="117" t="s">
        <v>143</v>
      </c>
      <c r="Z7" s="124" t="s">
        <v>144</v>
      </c>
      <c r="AD7" s="396"/>
      <c r="AE7" s="396"/>
      <c r="AF7" s="397"/>
      <c r="AG7" s="397"/>
      <c r="AH7" s="396"/>
      <c r="AI7" s="396"/>
      <c r="AJ7" s="397"/>
      <c r="AK7" s="397"/>
    </row>
    <row r="8" spans="1:38" ht="12.75" x14ac:dyDescent="0.2">
      <c r="A8" s="104"/>
      <c r="B8" s="116"/>
      <c r="C8" s="117" t="s">
        <v>145</v>
      </c>
      <c r="D8" s="121"/>
      <c r="E8" s="123"/>
      <c r="F8" s="122"/>
      <c r="G8" s="117" t="s">
        <v>146</v>
      </c>
      <c r="H8" s="117" t="s">
        <v>145</v>
      </c>
      <c r="I8" s="121" t="s">
        <v>147</v>
      </c>
      <c r="J8" s="116" t="s">
        <v>148</v>
      </c>
      <c r="K8" s="367"/>
      <c r="L8" s="122" t="s">
        <v>149</v>
      </c>
      <c r="M8" s="122" t="s">
        <v>150</v>
      </c>
      <c r="N8" s="123" t="s">
        <v>151</v>
      </c>
      <c r="O8" s="377"/>
      <c r="P8" s="422"/>
      <c r="Q8" s="423"/>
      <c r="R8" s="425"/>
      <c r="S8" s="423"/>
      <c r="T8" s="425"/>
      <c r="U8" s="423"/>
      <c r="V8" s="425"/>
      <c r="W8" s="427"/>
      <c r="X8" s="122" t="s">
        <v>152</v>
      </c>
      <c r="Y8" s="117" t="s">
        <v>153</v>
      </c>
      <c r="Z8" s="124"/>
      <c r="AD8" s="398" t="s">
        <v>154</v>
      </c>
      <c r="AE8" s="398"/>
      <c r="AF8" s="398"/>
      <c r="AG8" s="398"/>
      <c r="AH8" s="398" t="s">
        <v>155</v>
      </c>
      <c r="AI8" s="398"/>
      <c r="AJ8" s="398"/>
      <c r="AK8" s="398"/>
    </row>
    <row r="9" spans="1:38" ht="12.75" x14ac:dyDescent="0.2">
      <c r="A9" s="104"/>
      <c r="B9" s="116"/>
      <c r="C9" s="117"/>
      <c r="D9" s="121"/>
      <c r="E9" s="123"/>
      <c r="F9" s="122"/>
      <c r="G9" s="117"/>
      <c r="H9" s="117" t="s">
        <v>156</v>
      </c>
      <c r="I9" s="360"/>
      <c r="J9" s="116" t="s">
        <v>157</v>
      </c>
      <c r="K9" s="367"/>
      <c r="L9" s="122" t="s">
        <v>158</v>
      </c>
      <c r="M9" s="122"/>
      <c r="N9" s="123" t="s">
        <v>159</v>
      </c>
      <c r="O9" s="377"/>
      <c r="P9" s="116" t="s">
        <v>160</v>
      </c>
      <c r="Q9" s="117" t="s">
        <v>161</v>
      </c>
      <c r="R9" s="117" t="s">
        <v>160</v>
      </c>
      <c r="S9" s="117" t="s">
        <v>161</v>
      </c>
      <c r="T9" s="117" t="s">
        <v>160</v>
      </c>
      <c r="U9" s="117" t="s">
        <v>161</v>
      </c>
      <c r="V9" s="117" t="s">
        <v>160</v>
      </c>
      <c r="W9" s="124" t="s">
        <v>161</v>
      </c>
      <c r="X9" s="122"/>
      <c r="Y9" s="117" t="s">
        <v>162</v>
      </c>
      <c r="Z9" s="124"/>
      <c r="AD9" s="399" t="s">
        <v>163</v>
      </c>
      <c r="AE9" s="399" t="s">
        <v>164</v>
      </c>
      <c r="AF9" s="399" t="s">
        <v>163</v>
      </c>
      <c r="AG9" s="399" t="s">
        <v>163</v>
      </c>
      <c r="AH9" s="399" t="s">
        <v>46</v>
      </c>
      <c r="AI9" s="399" t="s">
        <v>47</v>
      </c>
      <c r="AJ9" s="399" t="s">
        <v>48</v>
      </c>
      <c r="AK9" s="399" t="s">
        <v>49</v>
      </c>
    </row>
    <row r="10" spans="1:38" ht="12.75" x14ac:dyDescent="0.2">
      <c r="A10" s="104"/>
      <c r="B10" s="125"/>
      <c r="C10" s="126"/>
      <c r="D10" s="127"/>
      <c r="E10" s="128"/>
      <c r="F10" s="129"/>
      <c r="G10" s="126"/>
      <c r="H10" s="130"/>
      <c r="I10" s="127"/>
      <c r="J10" s="125"/>
      <c r="K10" s="368"/>
      <c r="L10" s="129"/>
      <c r="M10" s="129"/>
      <c r="N10" s="128"/>
      <c r="O10" s="378"/>
      <c r="P10" s="125"/>
      <c r="Q10" s="126"/>
      <c r="R10" s="126"/>
      <c r="S10" s="126"/>
      <c r="T10" s="126"/>
      <c r="U10" s="126"/>
      <c r="V10" s="126"/>
      <c r="W10" s="131"/>
      <c r="X10" s="129"/>
      <c r="Y10" s="126"/>
      <c r="Z10" s="131"/>
      <c r="AD10" s="400" t="s">
        <v>165</v>
      </c>
      <c r="AE10" s="400" t="s">
        <v>158</v>
      </c>
      <c r="AF10" s="400" t="s">
        <v>166</v>
      </c>
      <c r="AG10" s="400" t="s">
        <v>167</v>
      </c>
      <c r="AH10" s="400"/>
      <c r="AI10" s="400"/>
      <c r="AJ10" s="400"/>
      <c r="AK10" s="400"/>
    </row>
    <row r="11" spans="1:38" s="140" customFormat="1" ht="24" customHeight="1" thickBot="1" x14ac:dyDescent="0.25">
      <c r="A11" s="132"/>
      <c r="B11" s="133">
        <v>1</v>
      </c>
      <c r="C11" s="134">
        <v>2</v>
      </c>
      <c r="D11" s="135">
        <v>3</v>
      </c>
      <c r="E11" s="136"/>
      <c r="F11" s="137"/>
      <c r="G11" s="134">
        <v>4</v>
      </c>
      <c r="H11" s="138">
        <v>5</v>
      </c>
      <c r="I11" s="361">
        <v>6</v>
      </c>
      <c r="J11" s="133">
        <v>7</v>
      </c>
      <c r="K11" s="369"/>
      <c r="L11" s="138">
        <v>8</v>
      </c>
      <c r="M11" s="138">
        <v>8</v>
      </c>
      <c r="N11" s="349">
        <v>9</v>
      </c>
      <c r="O11" s="379"/>
      <c r="P11" s="133">
        <v>10</v>
      </c>
      <c r="Q11" s="134">
        <v>11</v>
      </c>
      <c r="R11" s="134">
        <v>12</v>
      </c>
      <c r="S11" s="134">
        <v>13</v>
      </c>
      <c r="T11" s="134">
        <v>14</v>
      </c>
      <c r="U11" s="134">
        <v>15</v>
      </c>
      <c r="V11" s="134">
        <v>16</v>
      </c>
      <c r="W11" s="356">
        <v>17</v>
      </c>
      <c r="X11" s="138">
        <v>18</v>
      </c>
      <c r="Y11" s="134">
        <v>19</v>
      </c>
      <c r="Z11" s="139">
        <v>20</v>
      </c>
      <c r="AA11" s="318"/>
      <c r="AD11" s="400"/>
      <c r="AE11" s="400"/>
      <c r="AF11" s="400"/>
      <c r="AG11" s="400"/>
      <c r="AH11" s="400"/>
      <c r="AI11" s="400"/>
      <c r="AJ11" s="400"/>
      <c r="AK11" s="400"/>
    </row>
    <row r="12" spans="1:38" ht="20.100000000000001" customHeight="1" thickTop="1" x14ac:dyDescent="0.2">
      <c r="A12" s="104"/>
      <c r="B12" s="320" t="s">
        <v>270</v>
      </c>
      <c r="C12" s="321">
        <v>1</v>
      </c>
      <c r="D12" s="322" t="s">
        <v>198</v>
      </c>
      <c r="E12" s="323"/>
      <c r="F12" s="324"/>
      <c r="G12" s="325" t="s">
        <v>343</v>
      </c>
      <c r="H12" s="326">
        <v>41.68</v>
      </c>
      <c r="I12" s="362">
        <v>4</v>
      </c>
      <c r="J12" s="327">
        <f t="shared" ref="J12:J43" si="0">((AD12/1000)/H12)*100</f>
        <v>100</v>
      </c>
      <c r="K12" s="370">
        <f>(J12/100)*$H$12</f>
        <v>41.68</v>
      </c>
      <c r="L12" s="328">
        <f t="shared" ref="L12:L43" si="1">((AE12/1000)/H12)*100</f>
        <v>0</v>
      </c>
      <c r="M12" s="328">
        <f t="shared" ref="M12:M43" si="2">((AF12/1000)/H12)*100</f>
        <v>0</v>
      </c>
      <c r="N12" s="330">
        <f t="shared" ref="N12:N43" si="3">((AG12/1000)/H12)*100</f>
        <v>0</v>
      </c>
      <c r="O12" s="380">
        <f>(N12/100)*$H$12</f>
        <v>0</v>
      </c>
      <c r="P12" s="350">
        <f t="shared" ref="P12:P43" si="4">Q12/H12</f>
        <v>0.78694817658349325</v>
      </c>
      <c r="Q12" s="329">
        <f>AH12/1000</f>
        <v>32.799999999999997</v>
      </c>
      <c r="R12" s="329">
        <f t="shared" ref="R12:R43" si="5">S12/H12</f>
        <v>5.2783109404990411E-2</v>
      </c>
      <c r="S12" s="329">
        <f>AI12/1000</f>
        <v>2.2000000000000002</v>
      </c>
      <c r="T12" s="329">
        <f t="shared" ref="T12:T43" si="6">U12/H12</f>
        <v>2.8790786948176581E-2</v>
      </c>
      <c r="U12" s="329">
        <f>AJ12/1000</f>
        <v>1.2</v>
      </c>
      <c r="V12" s="329">
        <f t="shared" ref="V12:V43" si="7">W12/H12</f>
        <v>0.13147792706333974</v>
      </c>
      <c r="W12" s="330">
        <f>AK12/1000</f>
        <v>5.48</v>
      </c>
      <c r="X12" s="331">
        <v>950</v>
      </c>
      <c r="Y12" s="329" t="s">
        <v>190</v>
      </c>
      <c r="Z12" s="332">
        <f>(P12+R12+T12+V12)*100</f>
        <v>100</v>
      </c>
      <c r="AB12" s="114"/>
      <c r="AC12" s="241"/>
      <c r="AD12" s="401">
        <f>[10]Aspal!$BN$227</f>
        <v>41680</v>
      </c>
      <c r="AE12" s="401">
        <v>0</v>
      </c>
      <c r="AF12" s="401">
        <f>'Non Aspal'!BW49</f>
        <v>0</v>
      </c>
      <c r="AG12" s="401">
        <v>0</v>
      </c>
      <c r="AH12" s="401">
        <f>[10]Aspal!$BH$224</f>
        <v>32800</v>
      </c>
      <c r="AI12" s="401">
        <f>[10]Aspal!$BI$224</f>
        <v>2200</v>
      </c>
      <c r="AJ12" s="401">
        <f>[10]Aspal!$BJ$224</f>
        <v>1200</v>
      </c>
      <c r="AK12" s="401">
        <f>[10]Aspal!$BK$224</f>
        <v>5480</v>
      </c>
    </row>
    <row r="13" spans="1:38" ht="20.100000000000001" customHeight="1" x14ac:dyDescent="0.2">
      <c r="A13" s="104"/>
      <c r="B13" s="298" t="s">
        <v>271</v>
      </c>
      <c r="C13" s="287">
        <v>2</v>
      </c>
      <c r="D13" s="292" t="s">
        <v>195</v>
      </c>
      <c r="E13" s="293"/>
      <c r="F13" s="294"/>
      <c r="G13" s="288" t="s">
        <v>344</v>
      </c>
      <c r="H13" s="289">
        <v>7</v>
      </c>
      <c r="I13" s="363">
        <v>4</v>
      </c>
      <c r="J13" s="309">
        <f t="shared" si="0"/>
        <v>100</v>
      </c>
      <c r="K13" s="371">
        <f>(J13/100)*H13</f>
        <v>7</v>
      </c>
      <c r="L13" s="290">
        <f t="shared" si="1"/>
        <v>0</v>
      </c>
      <c r="M13" s="290">
        <f t="shared" si="2"/>
        <v>0</v>
      </c>
      <c r="N13" s="308">
        <f t="shared" si="3"/>
        <v>0</v>
      </c>
      <c r="O13" s="381">
        <f>(N13/100)*H13</f>
        <v>0</v>
      </c>
      <c r="P13" s="351">
        <f t="shared" si="4"/>
        <v>0.91428571428571437</v>
      </c>
      <c r="Q13" s="290">
        <f t="shared" ref="Q13:Q76" si="8">AH13/1000</f>
        <v>6.4</v>
      </c>
      <c r="R13" s="290">
        <f t="shared" si="5"/>
        <v>8.5714285714285715E-2</v>
      </c>
      <c r="S13" s="290">
        <f t="shared" ref="S13:S76" si="9">AI13/1000</f>
        <v>0.6</v>
      </c>
      <c r="T13" s="290">
        <f t="shared" si="6"/>
        <v>0</v>
      </c>
      <c r="U13" s="290">
        <f t="shared" ref="U13:U76" si="10">AJ13/1000</f>
        <v>0</v>
      </c>
      <c r="V13" s="290">
        <f t="shared" si="7"/>
        <v>0</v>
      </c>
      <c r="W13" s="308">
        <f t="shared" ref="W13:W76" si="11">AK13/1000</f>
        <v>0</v>
      </c>
      <c r="X13" s="312">
        <v>125</v>
      </c>
      <c r="Y13" s="290" t="s">
        <v>190</v>
      </c>
      <c r="Z13" s="297">
        <f t="shared" ref="Z13:Z35" si="12">(P13+R13+T13+V13)*100</f>
        <v>100</v>
      </c>
      <c r="AC13" s="241"/>
      <c r="AD13" s="401">
        <f>[11]Aspal!$BN$53+'[11]Non Aspal'!$BW$49</f>
        <v>7000</v>
      </c>
      <c r="AE13" s="401"/>
      <c r="AF13" s="401"/>
      <c r="AG13" s="401"/>
      <c r="AH13" s="401">
        <f>[11]Aspal!$BH$50</f>
        <v>6400</v>
      </c>
      <c r="AI13" s="401">
        <f>[11]Aspal!$BI$50</f>
        <v>600</v>
      </c>
      <c r="AJ13" s="401">
        <f>[11]Aspal!$BJ$50</f>
        <v>0</v>
      </c>
      <c r="AK13" s="401">
        <f>[11]Aspal!$BK$50</f>
        <v>0</v>
      </c>
    </row>
    <row r="14" spans="1:38" ht="20.100000000000001" customHeight="1" x14ac:dyDescent="0.2">
      <c r="A14" s="104"/>
      <c r="B14" s="298" t="s">
        <v>272</v>
      </c>
      <c r="C14" s="287">
        <v>3</v>
      </c>
      <c r="D14" s="292" t="s">
        <v>199</v>
      </c>
      <c r="E14" s="293"/>
      <c r="F14" s="294"/>
      <c r="G14" s="288" t="s">
        <v>343</v>
      </c>
      <c r="H14" s="289">
        <v>3</v>
      </c>
      <c r="I14" s="363">
        <v>3.5</v>
      </c>
      <c r="J14" s="309">
        <f t="shared" si="0"/>
        <v>73.333333333333343</v>
      </c>
      <c r="K14" s="371">
        <f t="shared" ref="K14:K77" si="13">(J14/100)*H14</f>
        <v>2.2000000000000002</v>
      </c>
      <c r="L14" s="290">
        <f t="shared" si="1"/>
        <v>0</v>
      </c>
      <c r="M14" s="290">
        <f t="shared" si="2"/>
        <v>0</v>
      </c>
      <c r="N14" s="308">
        <f t="shared" si="3"/>
        <v>26.666666666666668</v>
      </c>
      <c r="O14" s="381">
        <f t="shared" ref="O14:O77" si="14">(N14/100)*H14</f>
        <v>0.8</v>
      </c>
      <c r="P14" s="351">
        <f t="shared" si="4"/>
        <v>0.26666666666666666</v>
      </c>
      <c r="Q14" s="290">
        <f>AH14/1000</f>
        <v>0.8</v>
      </c>
      <c r="R14" s="290">
        <f t="shared" si="5"/>
        <v>0</v>
      </c>
      <c r="S14" s="290">
        <f t="shared" si="9"/>
        <v>0</v>
      </c>
      <c r="T14" s="290">
        <f t="shared" si="6"/>
        <v>0</v>
      </c>
      <c r="U14" s="290">
        <f t="shared" si="10"/>
        <v>0</v>
      </c>
      <c r="V14" s="290">
        <f t="shared" si="7"/>
        <v>0.73333333333333339</v>
      </c>
      <c r="W14" s="308">
        <f t="shared" si="11"/>
        <v>2.2000000000000002</v>
      </c>
      <c r="X14" s="312">
        <v>25</v>
      </c>
      <c r="Y14" s="290" t="s">
        <v>358</v>
      </c>
      <c r="Z14" s="297">
        <f t="shared" si="12"/>
        <v>100</v>
      </c>
      <c r="AC14" s="241"/>
      <c r="AD14" s="401">
        <f>[12]Aspal!$BN$29</f>
        <v>2200</v>
      </c>
      <c r="AE14" s="401"/>
      <c r="AF14" s="401"/>
      <c r="AG14" s="401">
        <f>'[12]Non Aspal'!$BU$19</f>
        <v>800</v>
      </c>
      <c r="AH14" s="401">
        <f>[12]Aspal!$BH$26</f>
        <v>800</v>
      </c>
      <c r="AI14" s="401">
        <f>[12]Aspal!$BI$26</f>
        <v>0</v>
      </c>
      <c r="AJ14" s="401">
        <f>[12]Aspal!$BJ$26</f>
        <v>0</v>
      </c>
      <c r="AK14" s="401">
        <f>[12]Aspal!$BK$26+'[12]Non Aspal'!$BU$19</f>
        <v>2200</v>
      </c>
    </row>
    <row r="15" spans="1:38" ht="20.100000000000001" customHeight="1" x14ac:dyDescent="0.2">
      <c r="A15" s="104"/>
      <c r="B15" s="298" t="s">
        <v>273</v>
      </c>
      <c r="C15" s="287">
        <v>4</v>
      </c>
      <c r="D15" s="292" t="s">
        <v>200</v>
      </c>
      <c r="E15" s="293"/>
      <c r="F15" s="294"/>
      <c r="G15" s="288" t="s">
        <v>345</v>
      </c>
      <c r="H15" s="289">
        <v>5</v>
      </c>
      <c r="I15" s="363">
        <v>3.2</v>
      </c>
      <c r="J15" s="309">
        <f t="shared" si="0"/>
        <v>76</v>
      </c>
      <c r="K15" s="371">
        <f t="shared" si="13"/>
        <v>3.8</v>
      </c>
      <c r="L15" s="290">
        <f t="shared" si="1"/>
        <v>0</v>
      </c>
      <c r="M15" s="290">
        <f t="shared" si="2"/>
        <v>0</v>
      </c>
      <c r="N15" s="308">
        <f t="shared" si="3"/>
        <v>24</v>
      </c>
      <c r="O15" s="381">
        <f t="shared" si="14"/>
        <v>1.2</v>
      </c>
      <c r="P15" s="351">
        <f t="shared" si="4"/>
        <v>0</v>
      </c>
      <c r="Q15" s="290">
        <f t="shared" si="8"/>
        <v>0</v>
      </c>
      <c r="R15" s="290">
        <f t="shared" si="5"/>
        <v>0</v>
      </c>
      <c r="S15" s="290">
        <f t="shared" si="9"/>
        <v>0</v>
      </c>
      <c r="T15" s="290">
        <f t="shared" si="6"/>
        <v>0.24</v>
      </c>
      <c r="U15" s="290">
        <f t="shared" si="10"/>
        <v>1.2</v>
      </c>
      <c r="V15" s="290">
        <f t="shared" si="7"/>
        <v>0.76</v>
      </c>
      <c r="W15" s="308">
        <f t="shared" si="11"/>
        <v>3.8</v>
      </c>
      <c r="X15" s="312">
        <v>15</v>
      </c>
      <c r="Y15" s="290" t="s">
        <v>190</v>
      </c>
      <c r="Z15" s="297">
        <f t="shared" si="12"/>
        <v>100</v>
      </c>
      <c r="AC15" s="241"/>
      <c r="AD15" s="401">
        <f>[13]Aspal!$BN$37</f>
        <v>3800</v>
      </c>
      <c r="AE15" s="401"/>
      <c r="AF15" s="401"/>
      <c r="AG15" s="401">
        <f>'[13]Non Aspal'!$BW$20</f>
        <v>1200</v>
      </c>
      <c r="AH15" s="401">
        <f>[13]Aspal!$BH$34</f>
        <v>0</v>
      </c>
      <c r="AI15" s="401">
        <f>[13]Aspal!$BI$34</f>
        <v>0</v>
      </c>
      <c r="AJ15" s="401">
        <f>[13]Aspal!$BJ$34</f>
        <v>1200</v>
      </c>
      <c r="AK15" s="401">
        <f>[13]Aspal!$BK$34+'[13]Non Aspal'!$BT$17</f>
        <v>3800</v>
      </c>
      <c r="AL15" s="168"/>
    </row>
    <row r="16" spans="1:38" ht="20.100000000000001" customHeight="1" x14ac:dyDescent="0.2">
      <c r="A16" s="104"/>
      <c r="B16" s="298" t="s">
        <v>274</v>
      </c>
      <c r="C16" s="287">
        <v>5</v>
      </c>
      <c r="D16" s="292" t="s">
        <v>201</v>
      </c>
      <c r="E16" s="293"/>
      <c r="F16" s="294"/>
      <c r="G16" s="288" t="s">
        <v>345</v>
      </c>
      <c r="H16" s="289">
        <v>5</v>
      </c>
      <c r="I16" s="363">
        <v>3.5</v>
      </c>
      <c r="J16" s="309">
        <f t="shared" si="0"/>
        <v>100</v>
      </c>
      <c r="K16" s="371">
        <f t="shared" si="13"/>
        <v>5</v>
      </c>
      <c r="L16" s="290">
        <f t="shared" si="1"/>
        <v>0</v>
      </c>
      <c r="M16" s="290">
        <f t="shared" si="2"/>
        <v>0</v>
      </c>
      <c r="N16" s="308">
        <f t="shared" si="3"/>
        <v>0</v>
      </c>
      <c r="O16" s="381">
        <f t="shared" si="14"/>
        <v>0</v>
      </c>
      <c r="P16" s="351">
        <f t="shared" si="4"/>
        <v>0.08</v>
      </c>
      <c r="Q16" s="290">
        <f t="shared" si="8"/>
        <v>0.4</v>
      </c>
      <c r="R16" s="290">
        <f t="shared" si="5"/>
        <v>0.12</v>
      </c>
      <c r="S16" s="290">
        <f t="shared" si="9"/>
        <v>0.6</v>
      </c>
      <c r="T16" s="290">
        <f t="shared" si="6"/>
        <v>0.16</v>
      </c>
      <c r="U16" s="290">
        <f t="shared" si="10"/>
        <v>0.8</v>
      </c>
      <c r="V16" s="290">
        <f t="shared" si="7"/>
        <v>0.64</v>
      </c>
      <c r="W16" s="308">
        <f t="shared" si="11"/>
        <v>3.2</v>
      </c>
      <c r="X16" s="312">
        <v>50</v>
      </c>
      <c r="Y16" s="290" t="s">
        <v>190</v>
      </c>
      <c r="Z16" s="297">
        <f t="shared" si="12"/>
        <v>100</v>
      </c>
      <c r="AC16" s="241"/>
      <c r="AD16" s="401">
        <f>[14]Aspal!$BN$43</f>
        <v>5000</v>
      </c>
      <c r="AE16" s="401"/>
      <c r="AF16" s="401"/>
      <c r="AG16" s="401"/>
      <c r="AH16" s="401">
        <f>[14]Aspal!$BH$40</f>
        <v>400</v>
      </c>
      <c r="AI16" s="401">
        <f>[14]Aspal!$BI$40</f>
        <v>600</v>
      </c>
      <c r="AJ16" s="401">
        <f>[14]Aspal!$BJ$40</f>
        <v>800</v>
      </c>
      <c r="AK16" s="401">
        <f>[14]Aspal!$BK$40</f>
        <v>3200</v>
      </c>
    </row>
    <row r="17" spans="1:37" ht="20.100000000000001" customHeight="1" x14ac:dyDescent="0.2">
      <c r="A17" s="104"/>
      <c r="B17" s="298" t="s">
        <v>275</v>
      </c>
      <c r="C17" s="287">
        <v>6</v>
      </c>
      <c r="D17" s="292" t="s">
        <v>202</v>
      </c>
      <c r="E17" s="293"/>
      <c r="F17" s="294"/>
      <c r="G17" s="288" t="s">
        <v>343</v>
      </c>
      <c r="H17" s="289">
        <v>5</v>
      </c>
      <c r="I17" s="363">
        <v>3.5</v>
      </c>
      <c r="J17" s="309">
        <f t="shared" si="0"/>
        <v>100</v>
      </c>
      <c r="K17" s="371">
        <f t="shared" si="13"/>
        <v>5</v>
      </c>
      <c r="L17" s="290">
        <f t="shared" si="1"/>
        <v>0</v>
      </c>
      <c r="M17" s="290">
        <f t="shared" si="2"/>
        <v>0</v>
      </c>
      <c r="N17" s="308">
        <f t="shared" si="3"/>
        <v>0</v>
      </c>
      <c r="O17" s="381">
        <f t="shared" si="14"/>
        <v>0</v>
      </c>
      <c r="P17" s="351">
        <f t="shared" si="4"/>
        <v>0.36</v>
      </c>
      <c r="Q17" s="290">
        <f t="shared" si="8"/>
        <v>1.8</v>
      </c>
      <c r="R17" s="290">
        <f t="shared" si="5"/>
        <v>0.27999999999999997</v>
      </c>
      <c r="S17" s="290">
        <f t="shared" si="9"/>
        <v>1.4</v>
      </c>
      <c r="T17" s="290">
        <f t="shared" si="6"/>
        <v>0.04</v>
      </c>
      <c r="U17" s="290">
        <f t="shared" si="10"/>
        <v>0.2</v>
      </c>
      <c r="V17" s="290">
        <f t="shared" si="7"/>
        <v>0.32</v>
      </c>
      <c r="W17" s="308">
        <f t="shared" si="11"/>
        <v>1.6</v>
      </c>
      <c r="X17" s="312">
        <v>60</v>
      </c>
      <c r="Y17" s="290" t="s">
        <v>190</v>
      </c>
      <c r="Z17" s="297">
        <f t="shared" si="12"/>
        <v>100</v>
      </c>
      <c r="AC17" s="241"/>
      <c r="AD17" s="401">
        <f>[15]Aspal!$BN$43</f>
        <v>5000</v>
      </c>
      <c r="AE17" s="401"/>
      <c r="AF17" s="401"/>
      <c r="AG17" s="401"/>
      <c r="AH17" s="401">
        <f>[15]Aspal!$BH$40</f>
        <v>1800</v>
      </c>
      <c r="AI17" s="401">
        <f>[15]Aspal!$BI$40</f>
        <v>1400</v>
      </c>
      <c r="AJ17" s="401">
        <f>[15]Aspal!$BJ$40</f>
        <v>200</v>
      </c>
      <c r="AK17" s="401">
        <f>[15]Aspal!$BK$40</f>
        <v>1600</v>
      </c>
    </row>
    <row r="18" spans="1:37" ht="20.100000000000001" customHeight="1" x14ac:dyDescent="0.2">
      <c r="A18" s="104"/>
      <c r="B18" s="298" t="s">
        <v>276</v>
      </c>
      <c r="C18" s="287">
        <v>7</v>
      </c>
      <c r="D18" s="292" t="s">
        <v>203</v>
      </c>
      <c r="E18" s="293"/>
      <c r="F18" s="294"/>
      <c r="G18" s="288" t="s">
        <v>345</v>
      </c>
      <c r="H18" s="289">
        <v>5</v>
      </c>
      <c r="I18" s="363">
        <v>3.5</v>
      </c>
      <c r="J18" s="309">
        <f t="shared" si="0"/>
        <v>64</v>
      </c>
      <c r="K18" s="371">
        <f t="shared" si="13"/>
        <v>3.2</v>
      </c>
      <c r="L18" s="290">
        <f t="shared" si="1"/>
        <v>0</v>
      </c>
      <c r="M18" s="290">
        <f t="shared" si="2"/>
        <v>0</v>
      </c>
      <c r="N18" s="308">
        <f t="shared" si="3"/>
        <v>36</v>
      </c>
      <c r="O18" s="381">
        <f t="shared" ref="O18:O25" si="15">(N18/100)*H18</f>
        <v>1.7999999999999998</v>
      </c>
      <c r="P18" s="351">
        <f t="shared" si="4"/>
        <v>0.2</v>
      </c>
      <c r="Q18" s="290">
        <f t="shared" si="8"/>
        <v>1</v>
      </c>
      <c r="R18" s="290">
        <f t="shared" si="5"/>
        <v>0.36</v>
      </c>
      <c r="S18" s="290">
        <f t="shared" si="9"/>
        <v>1.8</v>
      </c>
      <c r="T18" s="290">
        <f t="shared" si="6"/>
        <v>0.08</v>
      </c>
      <c r="U18" s="290">
        <f t="shared" si="10"/>
        <v>0.4</v>
      </c>
      <c r="V18" s="290">
        <f t="shared" si="7"/>
        <v>0.36</v>
      </c>
      <c r="W18" s="308">
        <f t="shared" si="11"/>
        <v>1.8</v>
      </c>
      <c r="X18" s="312">
        <v>30</v>
      </c>
      <c r="Y18" s="290" t="s">
        <v>169</v>
      </c>
      <c r="Z18" s="297">
        <f t="shared" si="12"/>
        <v>100</v>
      </c>
      <c r="AC18" s="241"/>
      <c r="AD18" s="401">
        <f>[16]Aspal!$BN$34</f>
        <v>3200</v>
      </c>
      <c r="AE18" s="401"/>
      <c r="AF18" s="401"/>
      <c r="AG18" s="401">
        <f>'[16]Non Aspal'!$BW$23</f>
        <v>1800</v>
      </c>
      <c r="AH18" s="401">
        <f>[16]Aspal!$BH$31</f>
        <v>1000</v>
      </c>
      <c r="AI18" s="401">
        <f>[16]Aspal!$BI$31</f>
        <v>1800</v>
      </c>
      <c r="AJ18" s="401">
        <f>[16]Aspal!$BJ$31</f>
        <v>400</v>
      </c>
      <c r="AK18" s="401">
        <f>'[16]Non Aspal'!$BU$24</f>
        <v>1800</v>
      </c>
    </row>
    <row r="19" spans="1:37" ht="20.100000000000001" customHeight="1" x14ac:dyDescent="0.2">
      <c r="A19" s="104"/>
      <c r="B19" s="298" t="s">
        <v>277</v>
      </c>
      <c r="C19" s="287">
        <v>8</v>
      </c>
      <c r="D19" s="292" t="s">
        <v>204</v>
      </c>
      <c r="E19" s="293"/>
      <c r="F19" s="294"/>
      <c r="G19" s="288" t="s">
        <v>345</v>
      </c>
      <c r="H19" s="289">
        <v>5</v>
      </c>
      <c r="I19" s="363">
        <v>3.5</v>
      </c>
      <c r="J19" s="309">
        <f t="shared" si="0"/>
        <v>100</v>
      </c>
      <c r="K19" s="371">
        <f t="shared" si="13"/>
        <v>5</v>
      </c>
      <c r="L19" s="290">
        <f t="shared" si="1"/>
        <v>0</v>
      </c>
      <c r="M19" s="290">
        <f t="shared" si="2"/>
        <v>0</v>
      </c>
      <c r="N19" s="308">
        <f t="shared" si="3"/>
        <v>0</v>
      </c>
      <c r="O19" s="381">
        <f t="shared" si="15"/>
        <v>0</v>
      </c>
      <c r="P19" s="351">
        <f t="shared" si="4"/>
        <v>0.04</v>
      </c>
      <c r="Q19" s="290">
        <f t="shared" si="8"/>
        <v>0.2</v>
      </c>
      <c r="R19" s="290">
        <f t="shared" si="5"/>
        <v>0.48</v>
      </c>
      <c r="S19" s="290">
        <f t="shared" si="9"/>
        <v>2.4</v>
      </c>
      <c r="T19" s="290">
        <f t="shared" si="6"/>
        <v>0.36</v>
      </c>
      <c r="U19" s="290">
        <f t="shared" si="10"/>
        <v>1.8</v>
      </c>
      <c r="V19" s="290">
        <f t="shared" si="7"/>
        <v>0.12</v>
      </c>
      <c r="W19" s="308">
        <f t="shared" si="11"/>
        <v>0.6</v>
      </c>
      <c r="X19" s="312">
        <v>45</v>
      </c>
      <c r="Y19" s="290" t="s">
        <v>190</v>
      </c>
      <c r="Z19" s="297">
        <f t="shared" si="12"/>
        <v>100</v>
      </c>
      <c r="AC19" s="241"/>
      <c r="AD19" s="401">
        <f>[17]Aspal!$BN$43</f>
        <v>5000</v>
      </c>
      <c r="AE19" s="401"/>
      <c r="AF19" s="401"/>
      <c r="AG19" s="401"/>
      <c r="AH19" s="401">
        <f>[17]Aspal!$BH$40</f>
        <v>200</v>
      </c>
      <c r="AI19" s="401">
        <f>[17]Aspal!$BI$40</f>
        <v>2400</v>
      </c>
      <c r="AJ19" s="401">
        <f>[17]Aspal!$BJ$40</f>
        <v>1800</v>
      </c>
      <c r="AK19" s="401">
        <f>[17]Aspal!$BK$40</f>
        <v>600</v>
      </c>
    </row>
    <row r="20" spans="1:37" ht="20.100000000000001" customHeight="1" x14ac:dyDescent="0.2">
      <c r="A20" s="104"/>
      <c r="B20" s="298" t="s">
        <v>278</v>
      </c>
      <c r="C20" s="287">
        <v>9</v>
      </c>
      <c r="D20" s="292" t="s">
        <v>205</v>
      </c>
      <c r="E20" s="293"/>
      <c r="F20" s="294"/>
      <c r="G20" s="288" t="s">
        <v>343</v>
      </c>
      <c r="H20" s="289">
        <v>3</v>
      </c>
      <c r="I20" s="363">
        <v>3.5</v>
      </c>
      <c r="J20" s="309">
        <f t="shared" si="0"/>
        <v>0</v>
      </c>
      <c r="K20" s="371">
        <f t="shared" si="13"/>
        <v>0</v>
      </c>
      <c r="L20" s="290">
        <f t="shared" si="1"/>
        <v>0</v>
      </c>
      <c r="M20" s="290">
        <f t="shared" si="2"/>
        <v>0</v>
      </c>
      <c r="N20" s="308">
        <f t="shared" si="3"/>
        <v>100</v>
      </c>
      <c r="O20" s="381">
        <f t="shared" si="15"/>
        <v>3</v>
      </c>
      <c r="P20" s="351">
        <f t="shared" si="4"/>
        <v>0</v>
      </c>
      <c r="Q20" s="290">
        <f t="shared" si="8"/>
        <v>0</v>
      </c>
      <c r="R20" s="290">
        <f t="shared" si="5"/>
        <v>0</v>
      </c>
      <c r="S20" s="290">
        <f t="shared" si="9"/>
        <v>0</v>
      </c>
      <c r="T20" s="290">
        <f t="shared" si="6"/>
        <v>0</v>
      </c>
      <c r="U20" s="290">
        <f t="shared" si="10"/>
        <v>0</v>
      </c>
      <c r="V20" s="290">
        <f t="shared" si="7"/>
        <v>1</v>
      </c>
      <c r="W20" s="308">
        <f t="shared" si="11"/>
        <v>3</v>
      </c>
      <c r="X20" s="312">
        <v>30</v>
      </c>
      <c r="Y20" s="290" t="s">
        <v>169</v>
      </c>
      <c r="Z20" s="297">
        <f t="shared" si="12"/>
        <v>100</v>
      </c>
      <c r="AC20" s="241"/>
      <c r="AD20" s="401"/>
      <c r="AE20" s="401"/>
      <c r="AF20" s="401"/>
      <c r="AG20" s="401">
        <f>'[18]Non Aspal'!$BU$30</f>
        <v>3000</v>
      </c>
      <c r="AH20" s="401"/>
      <c r="AI20" s="401"/>
      <c r="AJ20" s="401"/>
      <c r="AK20" s="401">
        <f>'[18]Non Aspal'!$BU$30</f>
        <v>3000</v>
      </c>
    </row>
    <row r="21" spans="1:37" ht="20.100000000000001" customHeight="1" x14ac:dyDescent="0.2">
      <c r="A21" s="104"/>
      <c r="B21" s="298" t="s">
        <v>279</v>
      </c>
      <c r="C21" s="287">
        <v>10</v>
      </c>
      <c r="D21" s="292" t="s">
        <v>206</v>
      </c>
      <c r="E21" s="293"/>
      <c r="F21" s="294"/>
      <c r="G21" s="288" t="s">
        <v>343</v>
      </c>
      <c r="H21" s="289">
        <v>3</v>
      </c>
      <c r="I21" s="363">
        <v>3.5</v>
      </c>
      <c r="J21" s="309">
        <f t="shared" si="0"/>
        <v>100</v>
      </c>
      <c r="K21" s="371">
        <f t="shared" si="13"/>
        <v>3</v>
      </c>
      <c r="L21" s="290">
        <f t="shared" si="1"/>
        <v>0</v>
      </c>
      <c r="M21" s="290">
        <f t="shared" si="2"/>
        <v>0</v>
      </c>
      <c r="N21" s="308">
        <f t="shared" si="3"/>
        <v>0</v>
      </c>
      <c r="O21" s="381">
        <f t="shared" si="15"/>
        <v>0</v>
      </c>
      <c r="P21" s="351">
        <f t="shared" si="4"/>
        <v>1</v>
      </c>
      <c r="Q21" s="290">
        <f t="shared" si="8"/>
        <v>3</v>
      </c>
      <c r="R21" s="290">
        <f t="shared" si="5"/>
        <v>0</v>
      </c>
      <c r="S21" s="290">
        <f t="shared" si="9"/>
        <v>0</v>
      </c>
      <c r="T21" s="290">
        <f t="shared" si="6"/>
        <v>0</v>
      </c>
      <c r="U21" s="290">
        <f t="shared" si="10"/>
        <v>0</v>
      </c>
      <c r="V21" s="290">
        <f t="shared" si="7"/>
        <v>0</v>
      </c>
      <c r="W21" s="308">
        <f t="shared" si="11"/>
        <v>0</v>
      </c>
      <c r="X21" s="312">
        <v>75</v>
      </c>
      <c r="Y21" s="290" t="s">
        <v>169</v>
      </c>
      <c r="Z21" s="297">
        <f t="shared" si="12"/>
        <v>100</v>
      </c>
      <c r="AC21" s="241"/>
      <c r="AD21" s="401">
        <f>[19]Aspal!$BN$33</f>
        <v>3000</v>
      </c>
      <c r="AE21" s="401"/>
      <c r="AF21" s="401"/>
      <c r="AG21" s="401"/>
      <c r="AH21" s="401">
        <f>[19]Aspal!$BH$30</f>
        <v>3000</v>
      </c>
      <c r="AI21" s="401"/>
      <c r="AJ21" s="401"/>
      <c r="AK21" s="401"/>
    </row>
    <row r="22" spans="1:37" ht="20.100000000000001" customHeight="1" x14ac:dyDescent="0.2">
      <c r="A22" s="104"/>
      <c r="B22" s="298" t="s">
        <v>280</v>
      </c>
      <c r="C22" s="287">
        <v>11</v>
      </c>
      <c r="D22" s="292" t="s">
        <v>207</v>
      </c>
      <c r="E22" s="293"/>
      <c r="F22" s="294"/>
      <c r="G22" s="288" t="s">
        <v>345</v>
      </c>
      <c r="H22" s="289">
        <v>3</v>
      </c>
      <c r="I22" s="363">
        <v>3</v>
      </c>
      <c r="J22" s="309">
        <f t="shared" si="0"/>
        <v>100</v>
      </c>
      <c r="K22" s="371">
        <f t="shared" si="13"/>
        <v>3</v>
      </c>
      <c r="L22" s="290">
        <f t="shared" si="1"/>
        <v>0</v>
      </c>
      <c r="M22" s="290">
        <f t="shared" si="2"/>
        <v>0</v>
      </c>
      <c r="N22" s="308">
        <f t="shared" si="3"/>
        <v>0</v>
      </c>
      <c r="O22" s="381">
        <f t="shared" si="15"/>
        <v>0</v>
      </c>
      <c r="P22" s="351">
        <f t="shared" si="4"/>
        <v>0.39999999999999997</v>
      </c>
      <c r="Q22" s="290">
        <f t="shared" si="8"/>
        <v>1.2</v>
      </c>
      <c r="R22" s="290">
        <f t="shared" si="5"/>
        <v>6.6666666666666666E-2</v>
      </c>
      <c r="S22" s="290">
        <f t="shared" si="9"/>
        <v>0.2</v>
      </c>
      <c r="T22" s="290">
        <f t="shared" si="6"/>
        <v>6.6666666666666666E-2</v>
      </c>
      <c r="U22" s="290">
        <f t="shared" si="10"/>
        <v>0.2</v>
      </c>
      <c r="V22" s="290">
        <f t="shared" si="7"/>
        <v>0.46666666666666662</v>
      </c>
      <c r="W22" s="308">
        <f t="shared" si="11"/>
        <v>1.4</v>
      </c>
      <c r="X22" s="312">
        <v>20</v>
      </c>
      <c r="Y22" s="290" t="s">
        <v>169</v>
      </c>
      <c r="Z22" s="297">
        <f t="shared" si="12"/>
        <v>100</v>
      </c>
      <c r="AC22" s="241"/>
      <c r="AD22" s="401">
        <f>[20]Aspal!$BN$33</f>
        <v>3000</v>
      </c>
      <c r="AE22" s="401"/>
      <c r="AF22" s="401"/>
      <c r="AG22" s="401"/>
      <c r="AH22" s="401">
        <f>[20]Aspal!$BH$30</f>
        <v>1200</v>
      </c>
      <c r="AI22" s="401">
        <f>[20]Aspal!$BI$30</f>
        <v>200</v>
      </c>
      <c r="AJ22" s="401">
        <f>[20]Aspal!$BJ$30</f>
        <v>200</v>
      </c>
      <c r="AK22" s="401">
        <f>[20]Aspal!$BK$30</f>
        <v>1400</v>
      </c>
    </row>
    <row r="23" spans="1:37" ht="20.100000000000001" customHeight="1" x14ac:dyDescent="0.2">
      <c r="A23" s="104"/>
      <c r="B23" s="298" t="s">
        <v>281</v>
      </c>
      <c r="C23" s="287">
        <v>12</v>
      </c>
      <c r="D23" s="292" t="s">
        <v>208</v>
      </c>
      <c r="E23" s="293"/>
      <c r="F23" s="294"/>
      <c r="G23" s="288" t="s">
        <v>345</v>
      </c>
      <c r="H23" s="289">
        <v>6</v>
      </c>
      <c r="I23" s="363">
        <v>3</v>
      </c>
      <c r="J23" s="309">
        <f t="shared" si="0"/>
        <v>100</v>
      </c>
      <c r="K23" s="371">
        <f t="shared" si="13"/>
        <v>6</v>
      </c>
      <c r="L23" s="290">
        <f t="shared" si="1"/>
        <v>0</v>
      </c>
      <c r="M23" s="290">
        <f t="shared" si="2"/>
        <v>0</v>
      </c>
      <c r="N23" s="308">
        <f t="shared" si="3"/>
        <v>0</v>
      </c>
      <c r="O23" s="381">
        <f t="shared" si="15"/>
        <v>0</v>
      </c>
      <c r="P23" s="351">
        <f t="shared" si="4"/>
        <v>0.70000000000000007</v>
      </c>
      <c r="Q23" s="290">
        <f t="shared" si="8"/>
        <v>4.2</v>
      </c>
      <c r="R23" s="290">
        <f t="shared" si="5"/>
        <v>0.13333333333333333</v>
      </c>
      <c r="S23" s="290">
        <f t="shared" si="9"/>
        <v>0.8</v>
      </c>
      <c r="T23" s="290">
        <f t="shared" si="6"/>
        <v>3.3333333333333333E-2</v>
      </c>
      <c r="U23" s="290">
        <f t="shared" si="10"/>
        <v>0.2</v>
      </c>
      <c r="V23" s="290">
        <f t="shared" si="7"/>
        <v>0.13333333333333333</v>
      </c>
      <c r="W23" s="308">
        <f t="shared" si="11"/>
        <v>0.8</v>
      </c>
      <c r="X23" s="312">
        <v>35</v>
      </c>
      <c r="Y23" s="290" t="s">
        <v>169</v>
      </c>
      <c r="Z23" s="297">
        <f t="shared" si="12"/>
        <v>100</v>
      </c>
      <c r="AC23" s="241"/>
      <c r="AD23" s="401">
        <f>[21]Aspal!$BN$48</f>
        <v>6000</v>
      </c>
      <c r="AE23" s="401"/>
      <c r="AF23" s="401"/>
      <c r="AG23" s="401"/>
      <c r="AH23" s="401">
        <f>[21]Aspal!$BH$45</f>
        <v>4200</v>
      </c>
      <c r="AI23" s="401">
        <f>[21]Aspal!$BI$45</f>
        <v>800</v>
      </c>
      <c r="AJ23" s="401">
        <f>[21]Aspal!$BJ$45</f>
        <v>200</v>
      </c>
      <c r="AK23" s="401">
        <f>[21]Aspal!$BK$45</f>
        <v>800</v>
      </c>
    </row>
    <row r="24" spans="1:37" ht="20.100000000000001" customHeight="1" x14ac:dyDescent="0.2">
      <c r="A24" s="104"/>
      <c r="B24" s="298" t="s">
        <v>282</v>
      </c>
      <c r="C24" s="287">
        <v>13</v>
      </c>
      <c r="D24" s="292" t="s">
        <v>209</v>
      </c>
      <c r="E24" s="293"/>
      <c r="F24" s="294"/>
      <c r="G24" s="288" t="s">
        <v>345</v>
      </c>
      <c r="H24" s="289">
        <v>6</v>
      </c>
      <c r="I24" s="363">
        <v>4</v>
      </c>
      <c r="J24" s="309">
        <f t="shared" si="0"/>
        <v>100</v>
      </c>
      <c r="K24" s="371">
        <f t="shared" si="13"/>
        <v>6</v>
      </c>
      <c r="L24" s="290">
        <f t="shared" si="1"/>
        <v>0</v>
      </c>
      <c r="M24" s="290">
        <f t="shared" si="2"/>
        <v>0</v>
      </c>
      <c r="N24" s="308">
        <f t="shared" si="3"/>
        <v>0</v>
      </c>
      <c r="O24" s="381">
        <f t="shared" si="15"/>
        <v>0</v>
      </c>
      <c r="P24" s="351">
        <f t="shared" si="4"/>
        <v>0.8666666666666667</v>
      </c>
      <c r="Q24" s="290">
        <f t="shared" si="8"/>
        <v>5.2</v>
      </c>
      <c r="R24" s="290">
        <f t="shared" si="5"/>
        <v>0.13333333333333333</v>
      </c>
      <c r="S24" s="290">
        <f t="shared" si="9"/>
        <v>0.8</v>
      </c>
      <c r="T24" s="290">
        <f t="shared" si="6"/>
        <v>0</v>
      </c>
      <c r="U24" s="290">
        <f t="shared" si="10"/>
        <v>0</v>
      </c>
      <c r="V24" s="290">
        <f t="shared" si="7"/>
        <v>0</v>
      </c>
      <c r="W24" s="308">
        <f t="shared" si="11"/>
        <v>0</v>
      </c>
      <c r="X24" s="312">
        <v>115</v>
      </c>
      <c r="Y24" s="290" t="s">
        <v>190</v>
      </c>
      <c r="Z24" s="297">
        <f t="shared" si="12"/>
        <v>100</v>
      </c>
      <c r="AC24" s="241"/>
      <c r="AD24" s="401">
        <f>[22]Aspal!$BN$48</f>
        <v>6000</v>
      </c>
      <c r="AE24" s="401"/>
      <c r="AF24" s="401"/>
      <c r="AG24" s="401"/>
      <c r="AH24" s="401">
        <f>[22]Aspal!$BH$45</f>
        <v>5200</v>
      </c>
      <c r="AI24" s="401">
        <f>[22]Aspal!$BI$45</f>
        <v>800</v>
      </c>
      <c r="AJ24" s="401">
        <f>[22]Aspal!$BJ$45</f>
        <v>0</v>
      </c>
      <c r="AK24" s="401">
        <f>[22]Aspal!$BK$45</f>
        <v>0</v>
      </c>
    </row>
    <row r="25" spans="1:37" ht="20.100000000000001" customHeight="1" x14ac:dyDescent="0.2">
      <c r="A25" s="104"/>
      <c r="B25" s="298" t="s">
        <v>283</v>
      </c>
      <c r="C25" s="287">
        <v>14</v>
      </c>
      <c r="D25" s="292" t="s">
        <v>210</v>
      </c>
      <c r="E25" s="293"/>
      <c r="F25" s="294"/>
      <c r="G25" s="288" t="s">
        <v>346</v>
      </c>
      <c r="H25" s="289">
        <v>13</v>
      </c>
      <c r="I25" s="363">
        <v>4</v>
      </c>
      <c r="J25" s="309">
        <f t="shared" si="0"/>
        <v>63.076923076923073</v>
      </c>
      <c r="K25" s="371">
        <f t="shared" si="13"/>
        <v>8.1999999999999993</v>
      </c>
      <c r="L25" s="290">
        <f t="shared" si="1"/>
        <v>0</v>
      </c>
      <c r="M25" s="290">
        <f t="shared" si="2"/>
        <v>0</v>
      </c>
      <c r="N25" s="308">
        <f t="shared" si="3"/>
        <v>36.92307692307692</v>
      </c>
      <c r="O25" s="381">
        <f t="shared" si="15"/>
        <v>4.8</v>
      </c>
      <c r="P25" s="351">
        <f t="shared" si="4"/>
        <v>0.16923076923076924</v>
      </c>
      <c r="Q25" s="290">
        <f t="shared" si="8"/>
        <v>2.2000000000000002</v>
      </c>
      <c r="R25" s="290">
        <f t="shared" si="5"/>
        <v>7.6923076923076927E-2</v>
      </c>
      <c r="S25" s="290">
        <f t="shared" si="9"/>
        <v>1</v>
      </c>
      <c r="T25" s="290">
        <f t="shared" si="6"/>
        <v>3.0769230769230771E-2</v>
      </c>
      <c r="U25" s="290">
        <f t="shared" si="10"/>
        <v>0.4</v>
      </c>
      <c r="V25" s="290">
        <f t="shared" si="7"/>
        <v>0.72307692307692306</v>
      </c>
      <c r="W25" s="308">
        <f t="shared" si="11"/>
        <v>9.4</v>
      </c>
      <c r="X25" s="312">
        <v>85</v>
      </c>
      <c r="Y25" s="290" t="s">
        <v>358</v>
      </c>
      <c r="Z25" s="297">
        <f t="shared" si="12"/>
        <v>100</v>
      </c>
      <c r="AC25" s="241"/>
      <c r="AD25" s="401">
        <f>[23]Aspal!$BN$59</f>
        <v>8200</v>
      </c>
      <c r="AE25" s="401"/>
      <c r="AF25" s="401"/>
      <c r="AG25" s="401">
        <f>'[23]Non Aspal'!$BU$39</f>
        <v>4800</v>
      </c>
      <c r="AH25" s="401">
        <f>[23]Aspal!$BH$56</f>
        <v>2200</v>
      </c>
      <c r="AI25" s="401">
        <f>[23]Aspal!$BI$56</f>
        <v>1000</v>
      </c>
      <c r="AJ25" s="401">
        <f>[23]Aspal!$BJ$56</f>
        <v>400</v>
      </c>
      <c r="AK25" s="401">
        <f>[23]Aspal!$BK$56+'[23]Non Aspal'!$BU$39</f>
        <v>9400</v>
      </c>
    </row>
    <row r="26" spans="1:37" ht="20.100000000000001" customHeight="1" x14ac:dyDescent="0.2">
      <c r="A26" s="104"/>
      <c r="B26" s="298" t="s">
        <v>284</v>
      </c>
      <c r="C26" s="287">
        <v>15</v>
      </c>
      <c r="D26" s="292" t="s">
        <v>211</v>
      </c>
      <c r="E26" s="293"/>
      <c r="F26" s="294"/>
      <c r="G26" s="288" t="s">
        <v>346</v>
      </c>
      <c r="H26" s="289">
        <v>5.6</v>
      </c>
      <c r="I26" s="363">
        <v>3.5</v>
      </c>
      <c r="J26" s="309">
        <f t="shared" si="0"/>
        <v>100</v>
      </c>
      <c r="K26" s="371">
        <f t="shared" si="13"/>
        <v>5.6</v>
      </c>
      <c r="L26" s="290">
        <f t="shared" si="1"/>
        <v>0</v>
      </c>
      <c r="M26" s="290">
        <f t="shared" si="2"/>
        <v>0</v>
      </c>
      <c r="N26" s="308">
        <f t="shared" si="3"/>
        <v>0</v>
      </c>
      <c r="O26" s="381">
        <f t="shared" si="14"/>
        <v>0</v>
      </c>
      <c r="P26" s="351">
        <f t="shared" si="4"/>
        <v>0.2142857142857143</v>
      </c>
      <c r="Q26" s="290">
        <f t="shared" si="8"/>
        <v>1.2</v>
      </c>
      <c r="R26" s="290">
        <f t="shared" si="5"/>
        <v>0.14285714285714288</v>
      </c>
      <c r="S26" s="290">
        <f t="shared" si="9"/>
        <v>0.8</v>
      </c>
      <c r="T26" s="290">
        <f t="shared" si="6"/>
        <v>0.35714285714285715</v>
      </c>
      <c r="U26" s="290">
        <f t="shared" si="10"/>
        <v>2</v>
      </c>
      <c r="V26" s="290">
        <f t="shared" si="7"/>
        <v>0.28571428571428575</v>
      </c>
      <c r="W26" s="308">
        <f t="shared" si="11"/>
        <v>1.6</v>
      </c>
      <c r="X26" s="312">
        <v>140</v>
      </c>
      <c r="Y26" s="290" t="s">
        <v>169</v>
      </c>
      <c r="Z26" s="297">
        <f t="shared" si="12"/>
        <v>100.00000000000003</v>
      </c>
      <c r="AB26" s="114"/>
      <c r="AC26" s="241"/>
      <c r="AD26" s="401">
        <f>[24]Aspal!$BN$46</f>
        <v>5600</v>
      </c>
      <c r="AE26" s="401"/>
      <c r="AF26" s="401"/>
      <c r="AG26" s="401"/>
      <c r="AH26" s="401">
        <f>[24]Aspal!$BH$43</f>
        <v>1200</v>
      </c>
      <c r="AI26" s="401">
        <f>[24]Aspal!$BI$43</f>
        <v>800</v>
      </c>
      <c r="AJ26" s="401">
        <f>[24]Aspal!$BJ$43</f>
        <v>2000</v>
      </c>
      <c r="AK26" s="401">
        <f>[24]Aspal!$BK$43</f>
        <v>1600</v>
      </c>
    </row>
    <row r="27" spans="1:37" ht="20.100000000000001" customHeight="1" x14ac:dyDescent="0.2">
      <c r="A27" s="104"/>
      <c r="B27" s="298" t="s">
        <v>285</v>
      </c>
      <c r="C27" s="287">
        <v>16</v>
      </c>
      <c r="D27" s="292" t="s">
        <v>212</v>
      </c>
      <c r="E27" s="293"/>
      <c r="F27" s="294"/>
      <c r="G27" s="288" t="s">
        <v>346</v>
      </c>
      <c r="H27" s="289">
        <v>2.5</v>
      </c>
      <c r="I27" s="363">
        <v>3.5</v>
      </c>
      <c r="J27" s="309">
        <f t="shared" si="0"/>
        <v>100</v>
      </c>
      <c r="K27" s="371">
        <f t="shared" si="13"/>
        <v>2.5</v>
      </c>
      <c r="L27" s="290">
        <f t="shared" si="1"/>
        <v>0</v>
      </c>
      <c r="M27" s="290">
        <f t="shared" si="2"/>
        <v>0</v>
      </c>
      <c r="N27" s="308">
        <f t="shared" si="3"/>
        <v>0</v>
      </c>
      <c r="O27" s="381">
        <f t="shared" si="14"/>
        <v>0</v>
      </c>
      <c r="P27" s="351">
        <f t="shared" si="4"/>
        <v>0.08</v>
      </c>
      <c r="Q27" s="290">
        <f t="shared" si="8"/>
        <v>0.2</v>
      </c>
      <c r="R27" s="290">
        <f t="shared" si="5"/>
        <v>0.16</v>
      </c>
      <c r="S27" s="290">
        <f t="shared" si="9"/>
        <v>0.4</v>
      </c>
      <c r="T27" s="290">
        <f t="shared" si="6"/>
        <v>0.08</v>
      </c>
      <c r="U27" s="290">
        <f t="shared" si="10"/>
        <v>0.2</v>
      </c>
      <c r="V27" s="290">
        <f t="shared" si="7"/>
        <v>0.67999999999999994</v>
      </c>
      <c r="W27" s="308">
        <f t="shared" si="11"/>
        <v>1.7</v>
      </c>
      <c r="X27" s="312">
        <v>45</v>
      </c>
      <c r="Y27" s="290" t="s">
        <v>190</v>
      </c>
      <c r="Z27" s="297">
        <f t="shared" si="12"/>
        <v>100</v>
      </c>
      <c r="AC27" s="241"/>
      <c r="AD27" s="401">
        <f>[25]Aspal!$BN$31</f>
        <v>2500</v>
      </c>
      <c r="AE27" s="401"/>
      <c r="AF27" s="401"/>
      <c r="AG27" s="401"/>
      <c r="AH27" s="401">
        <f>[25]Aspal!$BH$28</f>
        <v>200</v>
      </c>
      <c r="AI27" s="401">
        <f>[25]Aspal!$BI$28</f>
        <v>400</v>
      </c>
      <c r="AJ27" s="401">
        <f>[25]Aspal!$BJ$28</f>
        <v>200</v>
      </c>
      <c r="AK27" s="401">
        <f>[25]Aspal!$BK$28</f>
        <v>1700</v>
      </c>
    </row>
    <row r="28" spans="1:37" ht="20.100000000000001" customHeight="1" x14ac:dyDescent="0.2">
      <c r="A28" s="104"/>
      <c r="B28" s="298" t="s">
        <v>286</v>
      </c>
      <c r="C28" s="287">
        <v>17</v>
      </c>
      <c r="D28" s="292" t="s">
        <v>213</v>
      </c>
      <c r="E28" s="293"/>
      <c r="F28" s="294"/>
      <c r="G28" s="288" t="s">
        <v>346</v>
      </c>
      <c r="H28" s="289">
        <v>12</v>
      </c>
      <c r="I28" s="363">
        <v>4</v>
      </c>
      <c r="J28" s="309">
        <f t="shared" si="0"/>
        <v>100</v>
      </c>
      <c r="K28" s="371">
        <f t="shared" si="13"/>
        <v>12</v>
      </c>
      <c r="L28" s="290">
        <f t="shared" si="1"/>
        <v>0</v>
      </c>
      <c r="M28" s="290">
        <f t="shared" si="2"/>
        <v>0</v>
      </c>
      <c r="N28" s="308">
        <f t="shared" si="3"/>
        <v>0</v>
      </c>
      <c r="O28" s="381">
        <f t="shared" si="14"/>
        <v>0</v>
      </c>
      <c r="P28" s="351">
        <f t="shared" si="4"/>
        <v>0.98333333333333339</v>
      </c>
      <c r="Q28" s="290">
        <f t="shared" si="8"/>
        <v>11.8</v>
      </c>
      <c r="R28" s="290">
        <f t="shared" si="5"/>
        <v>1.6666666666666666E-2</v>
      </c>
      <c r="S28" s="290">
        <f t="shared" si="9"/>
        <v>0.2</v>
      </c>
      <c r="T28" s="290">
        <f t="shared" si="6"/>
        <v>0</v>
      </c>
      <c r="U28" s="290">
        <f t="shared" si="10"/>
        <v>0</v>
      </c>
      <c r="V28" s="290">
        <f t="shared" si="7"/>
        <v>0</v>
      </c>
      <c r="W28" s="308">
        <f t="shared" si="11"/>
        <v>0</v>
      </c>
      <c r="X28" s="312">
        <v>350</v>
      </c>
      <c r="Y28" s="290" t="s">
        <v>190</v>
      </c>
      <c r="Z28" s="297">
        <f t="shared" si="12"/>
        <v>100</v>
      </c>
      <c r="AC28" s="241"/>
      <c r="AD28" s="401">
        <f>[26]Aspal!$BN$78</f>
        <v>12000</v>
      </c>
      <c r="AE28" s="401"/>
      <c r="AF28" s="401"/>
      <c r="AG28" s="401"/>
      <c r="AH28" s="401">
        <f>[26]Aspal!$BH$75</f>
        <v>11800</v>
      </c>
      <c r="AI28" s="401">
        <f>[26]Aspal!$BI$75</f>
        <v>200</v>
      </c>
      <c r="AJ28" s="401">
        <f>[26]Aspal!$BJ$75</f>
        <v>0</v>
      </c>
      <c r="AK28" s="401">
        <f>[26]Aspal!$BK$75</f>
        <v>0</v>
      </c>
    </row>
    <row r="29" spans="1:37" ht="20.100000000000001" customHeight="1" x14ac:dyDescent="0.2">
      <c r="A29" s="104"/>
      <c r="B29" s="298" t="s">
        <v>287</v>
      </c>
      <c r="C29" s="287">
        <v>18</v>
      </c>
      <c r="D29" s="292" t="s">
        <v>214</v>
      </c>
      <c r="E29" s="293"/>
      <c r="F29" s="294"/>
      <c r="G29" s="288" t="s">
        <v>343</v>
      </c>
      <c r="H29" s="289">
        <v>3</v>
      </c>
      <c r="I29" s="363">
        <v>3</v>
      </c>
      <c r="J29" s="309">
        <f t="shared" si="0"/>
        <v>33.333333333333329</v>
      </c>
      <c r="K29" s="371">
        <f t="shared" si="13"/>
        <v>0.99999999999999978</v>
      </c>
      <c r="L29" s="290">
        <f t="shared" si="1"/>
        <v>0</v>
      </c>
      <c r="M29" s="290">
        <f t="shared" si="2"/>
        <v>0</v>
      </c>
      <c r="N29" s="308">
        <f t="shared" si="3"/>
        <v>66.666666666666657</v>
      </c>
      <c r="O29" s="381">
        <f t="shared" si="14"/>
        <v>1.9999999999999996</v>
      </c>
      <c r="P29" s="351">
        <f t="shared" si="4"/>
        <v>0.19999999999999998</v>
      </c>
      <c r="Q29" s="290">
        <f t="shared" si="8"/>
        <v>0.6</v>
      </c>
      <c r="R29" s="290">
        <f t="shared" si="5"/>
        <v>6.6666666666666666E-2</v>
      </c>
      <c r="S29" s="290">
        <f t="shared" si="9"/>
        <v>0.2</v>
      </c>
      <c r="T29" s="290">
        <f t="shared" si="6"/>
        <v>6.6666666666666666E-2</v>
      </c>
      <c r="U29" s="290">
        <f t="shared" si="10"/>
        <v>0.2</v>
      </c>
      <c r="V29" s="290">
        <f t="shared" si="7"/>
        <v>0.66666666666666663</v>
      </c>
      <c r="W29" s="308">
        <f t="shared" si="11"/>
        <v>2</v>
      </c>
      <c r="X29" s="312">
        <v>30</v>
      </c>
      <c r="Y29" s="290" t="s">
        <v>190</v>
      </c>
      <c r="Z29" s="297">
        <f t="shared" si="12"/>
        <v>100</v>
      </c>
      <c r="AC29" s="241"/>
      <c r="AD29" s="401">
        <f>[27]Aspal!$BN$23</f>
        <v>1000</v>
      </c>
      <c r="AE29" s="401"/>
      <c r="AF29" s="401"/>
      <c r="AG29" s="401">
        <f>'[27]Non Aspal'!$BW$24</f>
        <v>2000</v>
      </c>
      <c r="AH29" s="401">
        <f>[27]Aspal!$BH$20</f>
        <v>600</v>
      </c>
      <c r="AI29" s="401">
        <f>[27]Aspal!$BI$20</f>
        <v>200</v>
      </c>
      <c r="AJ29" s="401">
        <f>[27]Aspal!$BJ$20</f>
        <v>200</v>
      </c>
      <c r="AK29" s="401">
        <f>'[27]Non Aspal'!$BW$24</f>
        <v>2000</v>
      </c>
    </row>
    <row r="30" spans="1:37" ht="20.100000000000001" customHeight="1" x14ac:dyDescent="0.2">
      <c r="A30" s="104"/>
      <c r="B30" s="298" t="s">
        <v>288</v>
      </c>
      <c r="C30" s="287">
        <v>19</v>
      </c>
      <c r="D30" s="292" t="s">
        <v>215</v>
      </c>
      <c r="E30" s="293"/>
      <c r="F30" s="294"/>
      <c r="G30" s="288" t="s">
        <v>346</v>
      </c>
      <c r="H30" s="289">
        <v>3</v>
      </c>
      <c r="I30" s="363">
        <v>3.5</v>
      </c>
      <c r="J30" s="309">
        <f t="shared" si="0"/>
        <v>6.666666666666667</v>
      </c>
      <c r="K30" s="371">
        <f t="shared" si="13"/>
        <v>0.2</v>
      </c>
      <c r="L30" s="290">
        <f t="shared" si="1"/>
        <v>0</v>
      </c>
      <c r="M30" s="290">
        <f t="shared" si="2"/>
        <v>0</v>
      </c>
      <c r="N30" s="308">
        <f t="shared" si="3"/>
        <v>93.333333333333329</v>
      </c>
      <c r="O30" s="381">
        <f t="shared" si="14"/>
        <v>2.8</v>
      </c>
      <c r="P30" s="351">
        <f t="shared" si="4"/>
        <v>0</v>
      </c>
      <c r="Q30" s="290">
        <f t="shared" si="8"/>
        <v>0</v>
      </c>
      <c r="R30" s="290">
        <f t="shared" si="5"/>
        <v>0</v>
      </c>
      <c r="S30" s="290">
        <f t="shared" si="9"/>
        <v>0</v>
      </c>
      <c r="T30" s="290">
        <f t="shared" si="6"/>
        <v>6.6666666666666666E-2</v>
      </c>
      <c r="U30" s="290">
        <f t="shared" si="10"/>
        <v>0.2</v>
      </c>
      <c r="V30" s="290">
        <f t="shared" si="7"/>
        <v>0.93333333333333324</v>
      </c>
      <c r="W30" s="308">
        <f t="shared" si="11"/>
        <v>2.8</v>
      </c>
      <c r="X30" s="312">
        <v>70</v>
      </c>
      <c r="Y30" s="290" t="s">
        <v>169</v>
      </c>
      <c r="Z30" s="297">
        <f>(P30+R30+T30+V30)*100</f>
        <v>99.999999999999986</v>
      </c>
      <c r="AC30" s="241"/>
      <c r="AD30" s="401">
        <f>[28]Aspal!$BN$19</f>
        <v>200</v>
      </c>
      <c r="AE30" s="401"/>
      <c r="AF30" s="401"/>
      <c r="AG30" s="401">
        <f>'[28]Non Aspal'!$BW$28</f>
        <v>2800</v>
      </c>
      <c r="AH30" s="401"/>
      <c r="AI30" s="401"/>
      <c r="AJ30" s="401">
        <f>[28]Aspal!$BJ$16</f>
        <v>200</v>
      </c>
      <c r="AK30" s="401">
        <f>'[28]Non Aspal'!$BW$28</f>
        <v>2800</v>
      </c>
    </row>
    <row r="31" spans="1:37" ht="20.100000000000001" customHeight="1" x14ac:dyDescent="0.2">
      <c r="A31" s="104"/>
      <c r="B31" s="298" t="s">
        <v>289</v>
      </c>
      <c r="C31" s="287">
        <v>20</v>
      </c>
      <c r="D31" s="292" t="s">
        <v>216</v>
      </c>
      <c r="E31" s="293"/>
      <c r="F31" s="294"/>
      <c r="G31" s="288" t="s">
        <v>346</v>
      </c>
      <c r="H31" s="289">
        <v>5</v>
      </c>
      <c r="I31" s="363">
        <v>3.75</v>
      </c>
      <c r="J31" s="309">
        <f t="shared" si="0"/>
        <v>100</v>
      </c>
      <c r="K31" s="371">
        <f t="shared" si="13"/>
        <v>5</v>
      </c>
      <c r="L31" s="290">
        <f t="shared" si="1"/>
        <v>0</v>
      </c>
      <c r="M31" s="290">
        <f t="shared" si="2"/>
        <v>0</v>
      </c>
      <c r="N31" s="308">
        <f t="shared" si="3"/>
        <v>0</v>
      </c>
      <c r="O31" s="381">
        <f t="shared" si="14"/>
        <v>0</v>
      </c>
      <c r="P31" s="351">
        <f t="shared" si="4"/>
        <v>0</v>
      </c>
      <c r="Q31" s="290">
        <f t="shared" si="8"/>
        <v>0</v>
      </c>
      <c r="R31" s="290">
        <f t="shared" si="5"/>
        <v>0.24</v>
      </c>
      <c r="S31" s="290">
        <f t="shared" si="9"/>
        <v>1.2</v>
      </c>
      <c r="T31" s="290">
        <f t="shared" si="6"/>
        <v>0.36</v>
      </c>
      <c r="U31" s="290">
        <f t="shared" si="10"/>
        <v>1.8</v>
      </c>
      <c r="V31" s="290">
        <f t="shared" si="7"/>
        <v>0.4</v>
      </c>
      <c r="W31" s="308">
        <f t="shared" si="11"/>
        <v>2</v>
      </c>
      <c r="X31" s="312">
        <v>55</v>
      </c>
      <c r="Y31" s="290" t="s">
        <v>358</v>
      </c>
      <c r="Z31" s="297">
        <f>(P31+R31+T31+V31)*100</f>
        <v>100</v>
      </c>
      <c r="AC31" s="241"/>
      <c r="AD31" s="401">
        <f>[29]Aspal!$BN$43</f>
        <v>5000</v>
      </c>
      <c r="AE31" s="401"/>
      <c r="AF31" s="401"/>
      <c r="AG31" s="401"/>
      <c r="AH31" s="401">
        <f>[29]Aspal!$BH$40</f>
        <v>0</v>
      </c>
      <c r="AI31" s="401">
        <f>[29]Aspal!$BI$40</f>
        <v>1200</v>
      </c>
      <c r="AJ31" s="401">
        <f>[29]Aspal!$BJ$40</f>
        <v>1800</v>
      </c>
      <c r="AK31" s="401">
        <f>[29]Aspal!$BK$40</f>
        <v>2000</v>
      </c>
    </row>
    <row r="32" spans="1:37" ht="20.100000000000001" customHeight="1" x14ac:dyDescent="0.2">
      <c r="A32" s="104"/>
      <c r="B32" s="298" t="s">
        <v>290</v>
      </c>
      <c r="C32" s="287">
        <v>21</v>
      </c>
      <c r="D32" s="292" t="s">
        <v>217</v>
      </c>
      <c r="E32" s="293"/>
      <c r="F32" s="294"/>
      <c r="G32" s="288" t="s">
        <v>343</v>
      </c>
      <c r="H32" s="289">
        <v>8</v>
      </c>
      <c r="I32" s="363">
        <v>3.75</v>
      </c>
      <c r="J32" s="309">
        <f t="shared" si="0"/>
        <v>100</v>
      </c>
      <c r="K32" s="371">
        <f t="shared" si="13"/>
        <v>8</v>
      </c>
      <c r="L32" s="290">
        <f t="shared" si="1"/>
        <v>0</v>
      </c>
      <c r="M32" s="290">
        <f t="shared" si="2"/>
        <v>0</v>
      </c>
      <c r="N32" s="308">
        <f t="shared" si="3"/>
        <v>0</v>
      </c>
      <c r="O32" s="381">
        <f t="shared" si="14"/>
        <v>0</v>
      </c>
      <c r="P32" s="351">
        <f t="shared" si="4"/>
        <v>0.7</v>
      </c>
      <c r="Q32" s="290">
        <f t="shared" si="8"/>
        <v>5.6</v>
      </c>
      <c r="R32" s="290">
        <f t="shared" si="5"/>
        <v>0.1</v>
      </c>
      <c r="S32" s="290">
        <f t="shared" si="9"/>
        <v>0.8</v>
      </c>
      <c r="T32" s="290">
        <f t="shared" si="6"/>
        <v>0</v>
      </c>
      <c r="U32" s="290">
        <f t="shared" si="10"/>
        <v>0</v>
      </c>
      <c r="V32" s="290">
        <f t="shared" si="7"/>
        <v>0.2</v>
      </c>
      <c r="W32" s="308">
        <f t="shared" si="11"/>
        <v>1.6</v>
      </c>
      <c r="X32" s="312">
        <v>75</v>
      </c>
      <c r="Y32" s="290" t="s">
        <v>190</v>
      </c>
      <c r="Z32" s="297">
        <f t="shared" si="12"/>
        <v>100</v>
      </c>
      <c r="AC32" s="241"/>
      <c r="AD32" s="401">
        <f>[30]Aspal!$BN$58</f>
        <v>8000</v>
      </c>
      <c r="AE32" s="401"/>
      <c r="AF32" s="401"/>
      <c r="AG32" s="401"/>
      <c r="AH32" s="401">
        <f>[30]Aspal!$BH$55</f>
        <v>5600</v>
      </c>
      <c r="AI32" s="401">
        <f>[30]Aspal!$BI$55</f>
        <v>800</v>
      </c>
      <c r="AJ32" s="401">
        <f>[30]Aspal!$BJ$55</f>
        <v>0</v>
      </c>
      <c r="AK32" s="401">
        <f>[30]Aspal!$BK$55</f>
        <v>1600</v>
      </c>
    </row>
    <row r="33" spans="1:37" ht="20.100000000000001" customHeight="1" x14ac:dyDescent="0.2">
      <c r="A33" s="104"/>
      <c r="B33" s="298" t="s">
        <v>291</v>
      </c>
      <c r="C33" s="287">
        <v>22</v>
      </c>
      <c r="D33" s="292" t="s">
        <v>218</v>
      </c>
      <c r="E33" s="293"/>
      <c r="F33" s="294"/>
      <c r="G33" s="288" t="s">
        <v>346</v>
      </c>
      <c r="H33" s="289">
        <v>5</v>
      </c>
      <c r="I33" s="363">
        <v>3.5</v>
      </c>
      <c r="J33" s="309">
        <f t="shared" si="0"/>
        <v>100</v>
      </c>
      <c r="K33" s="371">
        <f t="shared" si="13"/>
        <v>5</v>
      </c>
      <c r="L33" s="290">
        <f t="shared" si="1"/>
        <v>0</v>
      </c>
      <c r="M33" s="290">
        <f t="shared" si="2"/>
        <v>0</v>
      </c>
      <c r="N33" s="308">
        <f t="shared" si="3"/>
        <v>0</v>
      </c>
      <c r="O33" s="381">
        <f t="shared" si="14"/>
        <v>0</v>
      </c>
      <c r="P33" s="351">
        <f t="shared" si="4"/>
        <v>0</v>
      </c>
      <c r="Q33" s="290">
        <f t="shared" si="8"/>
        <v>0</v>
      </c>
      <c r="R33" s="290">
        <f t="shared" si="5"/>
        <v>0.27999999999999997</v>
      </c>
      <c r="S33" s="290">
        <f t="shared" si="9"/>
        <v>1.4</v>
      </c>
      <c r="T33" s="290">
        <f t="shared" si="6"/>
        <v>0.64</v>
      </c>
      <c r="U33" s="290">
        <f t="shared" si="10"/>
        <v>3.2</v>
      </c>
      <c r="V33" s="290">
        <f t="shared" si="7"/>
        <v>0.08</v>
      </c>
      <c r="W33" s="308">
        <f t="shared" si="11"/>
        <v>0.4</v>
      </c>
      <c r="X33" s="312">
        <v>30</v>
      </c>
      <c r="Y33" s="290" t="s">
        <v>358</v>
      </c>
      <c r="Z33" s="297">
        <f t="shared" si="12"/>
        <v>99.999999999999986</v>
      </c>
      <c r="AC33" s="241"/>
      <c r="AD33" s="401">
        <f>[31]Aspal!$BN$43</f>
        <v>5000</v>
      </c>
      <c r="AE33" s="401"/>
      <c r="AF33" s="401"/>
      <c r="AG33" s="401"/>
      <c r="AH33" s="401">
        <f>[31]Aspal!$BH$40</f>
        <v>0</v>
      </c>
      <c r="AI33" s="401">
        <f>[31]Aspal!$BI$40</f>
        <v>1400</v>
      </c>
      <c r="AJ33" s="401">
        <f>[31]Aspal!$BJ$40</f>
        <v>3200</v>
      </c>
      <c r="AK33" s="401">
        <f>[31]Aspal!$BK$40</f>
        <v>400</v>
      </c>
    </row>
    <row r="34" spans="1:37" ht="20.100000000000001" customHeight="1" x14ac:dyDescent="0.2">
      <c r="A34" s="104"/>
      <c r="B34" s="298" t="s">
        <v>292</v>
      </c>
      <c r="C34" s="287">
        <v>23</v>
      </c>
      <c r="D34" s="292" t="s">
        <v>219</v>
      </c>
      <c r="E34" s="293"/>
      <c r="F34" s="294"/>
      <c r="G34" s="288" t="s">
        <v>346</v>
      </c>
      <c r="H34" s="289">
        <v>5</v>
      </c>
      <c r="I34" s="363">
        <v>3.2</v>
      </c>
      <c r="J34" s="309">
        <f t="shared" si="0"/>
        <v>24</v>
      </c>
      <c r="K34" s="371">
        <f t="shared" si="13"/>
        <v>1.2</v>
      </c>
      <c r="L34" s="290">
        <f t="shared" si="1"/>
        <v>0</v>
      </c>
      <c r="M34" s="290">
        <f t="shared" si="2"/>
        <v>0</v>
      </c>
      <c r="N34" s="308">
        <f t="shared" si="3"/>
        <v>76</v>
      </c>
      <c r="O34" s="381">
        <f t="shared" si="14"/>
        <v>3.8</v>
      </c>
      <c r="P34" s="351">
        <f t="shared" si="4"/>
        <v>0</v>
      </c>
      <c r="Q34" s="290">
        <f t="shared" si="8"/>
        <v>0</v>
      </c>
      <c r="R34" s="290">
        <f t="shared" si="5"/>
        <v>0.04</v>
      </c>
      <c r="S34" s="290">
        <f t="shared" si="9"/>
        <v>0.2</v>
      </c>
      <c r="T34" s="290">
        <f t="shared" si="6"/>
        <v>0.12</v>
      </c>
      <c r="U34" s="290">
        <f t="shared" si="10"/>
        <v>0.6</v>
      </c>
      <c r="V34" s="290">
        <f t="shared" si="7"/>
        <v>0.84000000000000008</v>
      </c>
      <c r="W34" s="308">
        <f t="shared" si="11"/>
        <v>4.2</v>
      </c>
      <c r="X34" s="312">
        <v>35</v>
      </c>
      <c r="Y34" s="290" t="s">
        <v>358</v>
      </c>
      <c r="Z34" s="297">
        <f>(P34+R34+T34+V34)*100</f>
        <v>100</v>
      </c>
      <c r="AC34" s="241"/>
      <c r="AD34" s="401">
        <f>[32]Aspal!$BN$24</f>
        <v>1200</v>
      </c>
      <c r="AE34" s="401"/>
      <c r="AF34" s="401"/>
      <c r="AG34" s="401">
        <f>'[32]Non Aspal'!$BU$50</f>
        <v>3800</v>
      </c>
      <c r="AH34" s="401">
        <f>[32]Aspal!$BH$21</f>
        <v>0</v>
      </c>
      <c r="AI34" s="401">
        <f>[32]Aspal!$BI$21</f>
        <v>200</v>
      </c>
      <c r="AJ34" s="401">
        <f>[32]Aspal!$BJ$21</f>
        <v>600</v>
      </c>
      <c r="AK34" s="401">
        <f>[32]Aspal!$BK$21+'[32]Non Aspal'!$BW$49</f>
        <v>4200</v>
      </c>
    </row>
    <row r="35" spans="1:37" ht="20.100000000000001" customHeight="1" x14ac:dyDescent="0.2">
      <c r="A35" s="104"/>
      <c r="B35" s="298" t="s">
        <v>293</v>
      </c>
      <c r="C35" s="287">
        <v>24</v>
      </c>
      <c r="D35" s="292" t="s">
        <v>220</v>
      </c>
      <c r="E35" s="293"/>
      <c r="F35" s="294"/>
      <c r="G35" s="288" t="s">
        <v>346</v>
      </c>
      <c r="H35" s="289">
        <v>5</v>
      </c>
      <c r="I35" s="363">
        <v>3.5</v>
      </c>
      <c r="J35" s="309">
        <f>((AD35/1000)/H35)*100</f>
        <v>20</v>
      </c>
      <c r="K35" s="371">
        <f t="shared" si="13"/>
        <v>1</v>
      </c>
      <c r="L35" s="290">
        <f t="shared" si="1"/>
        <v>0</v>
      </c>
      <c r="M35" s="290">
        <f t="shared" si="2"/>
        <v>0</v>
      </c>
      <c r="N35" s="308">
        <f t="shared" si="3"/>
        <v>80</v>
      </c>
      <c r="O35" s="381">
        <f t="shared" si="14"/>
        <v>4</v>
      </c>
      <c r="P35" s="351">
        <f t="shared" si="4"/>
        <v>0.08</v>
      </c>
      <c r="Q35" s="290">
        <f t="shared" si="8"/>
        <v>0.4</v>
      </c>
      <c r="R35" s="290">
        <f t="shared" si="5"/>
        <v>0.08</v>
      </c>
      <c r="S35" s="290">
        <f t="shared" si="9"/>
        <v>0.4</v>
      </c>
      <c r="T35" s="290">
        <f t="shared" si="6"/>
        <v>0.04</v>
      </c>
      <c r="U35" s="290">
        <f t="shared" si="10"/>
        <v>0.2</v>
      </c>
      <c r="V35" s="290">
        <f t="shared" si="7"/>
        <v>0.8</v>
      </c>
      <c r="W35" s="308">
        <f t="shared" si="11"/>
        <v>4</v>
      </c>
      <c r="X35" s="312">
        <v>35</v>
      </c>
      <c r="Y35" s="290" t="s">
        <v>358</v>
      </c>
      <c r="Z35" s="297">
        <f t="shared" si="12"/>
        <v>100</v>
      </c>
      <c r="AC35" s="241"/>
      <c r="AD35" s="401">
        <f>[33]Aspal!$BN$23</f>
        <v>1000</v>
      </c>
      <c r="AE35" s="401"/>
      <c r="AF35" s="401"/>
      <c r="AG35" s="401">
        <f>'[33]Non Aspal'!$BW$34</f>
        <v>4000</v>
      </c>
      <c r="AH35" s="401">
        <f>[33]Aspal!$BH$20</f>
        <v>400</v>
      </c>
      <c r="AI35" s="401">
        <f>[33]Aspal!$BI$20</f>
        <v>400</v>
      </c>
      <c r="AJ35" s="401">
        <f>[33]Aspal!$BJ$20</f>
        <v>200</v>
      </c>
      <c r="AK35" s="401">
        <f>'[33]Non Aspal'!$BU$35</f>
        <v>4000</v>
      </c>
    </row>
    <row r="36" spans="1:37" ht="20.100000000000001" customHeight="1" x14ac:dyDescent="0.2">
      <c r="A36" s="104"/>
      <c r="B36" s="298" t="s">
        <v>294</v>
      </c>
      <c r="C36" s="287">
        <v>25</v>
      </c>
      <c r="D36" s="292" t="s">
        <v>221</v>
      </c>
      <c r="E36" s="293"/>
      <c r="F36" s="294"/>
      <c r="G36" s="288" t="s">
        <v>346</v>
      </c>
      <c r="H36" s="289">
        <v>2.5</v>
      </c>
      <c r="I36" s="363">
        <v>3.5</v>
      </c>
      <c r="J36" s="309">
        <f t="shared" si="0"/>
        <v>100</v>
      </c>
      <c r="K36" s="371">
        <f t="shared" si="13"/>
        <v>2.5</v>
      </c>
      <c r="L36" s="290">
        <f t="shared" si="1"/>
        <v>0</v>
      </c>
      <c r="M36" s="290">
        <f t="shared" si="2"/>
        <v>0</v>
      </c>
      <c r="N36" s="308">
        <f t="shared" si="3"/>
        <v>0</v>
      </c>
      <c r="O36" s="381">
        <f t="shared" si="14"/>
        <v>0</v>
      </c>
      <c r="P36" s="351">
        <f t="shared" si="4"/>
        <v>0.48</v>
      </c>
      <c r="Q36" s="290">
        <f t="shared" si="8"/>
        <v>1.2</v>
      </c>
      <c r="R36" s="290">
        <f t="shared" si="5"/>
        <v>0.44000000000000006</v>
      </c>
      <c r="S36" s="290">
        <f t="shared" si="9"/>
        <v>1.1000000000000001</v>
      </c>
      <c r="T36" s="290">
        <f t="shared" si="6"/>
        <v>0.08</v>
      </c>
      <c r="U36" s="290">
        <f t="shared" si="10"/>
        <v>0.2</v>
      </c>
      <c r="V36" s="290">
        <f t="shared" si="7"/>
        <v>0</v>
      </c>
      <c r="W36" s="308">
        <f t="shared" si="11"/>
        <v>0</v>
      </c>
      <c r="X36" s="312">
        <v>30</v>
      </c>
      <c r="Y36" s="290" t="s">
        <v>358</v>
      </c>
      <c r="Z36" s="297">
        <f t="shared" ref="Z36:Z67" si="16">(P36+R36+T36+V36)*100</f>
        <v>100</v>
      </c>
      <c r="AC36" s="241"/>
      <c r="AD36" s="401">
        <f>[34]Aspal!$BN$31</f>
        <v>2500</v>
      </c>
      <c r="AE36" s="401"/>
      <c r="AF36" s="401"/>
      <c r="AG36" s="401"/>
      <c r="AH36" s="401">
        <f>[34]Aspal!$BH$28</f>
        <v>1200</v>
      </c>
      <c r="AI36" s="401">
        <f>[34]Aspal!$BI$28</f>
        <v>1100</v>
      </c>
      <c r="AJ36" s="401">
        <f>[34]Aspal!$BJ$28</f>
        <v>200</v>
      </c>
      <c r="AK36" s="401">
        <f>[34]Aspal!$BK$28</f>
        <v>0</v>
      </c>
    </row>
    <row r="37" spans="1:37" ht="20.100000000000001" customHeight="1" x14ac:dyDescent="0.2">
      <c r="A37" s="104"/>
      <c r="B37" s="298" t="s">
        <v>295</v>
      </c>
      <c r="C37" s="287">
        <v>26</v>
      </c>
      <c r="D37" s="292" t="s">
        <v>222</v>
      </c>
      <c r="E37" s="293"/>
      <c r="F37" s="294"/>
      <c r="G37" s="288" t="s">
        <v>346</v>
      </c>
      <c r="H37" s="289">
        <v>3</v>
      </c>
      <c r="I37" s="363">
        <v>3.5</v>
      </c>
      <c r="J37" s="309">
        <f t="shared" si="0"/>
        <v>93.333333333333329</v>
      </c>
      <c r="K37" s="371">
        <f t="shared" si="13"/>
        <v>2.8</v>
      </c>
      <c r="L37" s="290">
        <f t="shared" si="1"/>
        <v>0</v>
      </c>
      <c r="M37" s="290">
        <f t="shared" si="2"/>
        <v>0</v>
      </c>
      <c r="N37" s="308">
        <f t="shared" si="3"/>
        <v>6.666666666666667</v>
      </c>
      <c r="O37" s="381">
        <f t="shared" si="14"/>
        <v>0.2</v>
      </c>
      <c r="P37" s="351">
        <f t="shared" si="4"/>
        <v>0.53333333333333333</v>
      </c>
      <c r="Q37" s="290">
        <f t="shared" si="8"/>
        <v>1.6</v>
      </c>
      <c r="R37" s="290">
        <f t="shared" si="5"/>
        <v>0.26666666666666666</v>
      </c>
      <c r="S37" s="290">
        <f t="shared" si="9"/>
        <v>0.8</v>
      </c>
      <c r="T37" s="290">
        <f t="shared" si="6"/>
        <v>0</v>
      </c>
      <c r="U37" s="290">
        <f t="shared" si="10"/>
        <v>0</v>
      </c>
      <c r="V37" s="290">
        <f t="shared" si="7"/>
        <v>0.19999999999999998</v>
      </c>
      <c r="W37" s="308">
        <f t="shared" si="11"/>
        <v>0.6</v>
      </c>
      <c r="X37" s="312">
        <v>70</v>
      </c>
      <c r="Y37" s="290" t="s">
        <v>169</v>
      </c>
      <c r="Z37" s="297">
        <f t="shared" si="16"/>
        <v>100</v>
      </c>
      <c r="AC37" s="241"/>
      <c r="AD37" s="401">
        <f>[35]Aspal!$BN$32</f>
        <v>2800</v>
      </c>
      <c r="AE37" s="401"/>
      <c r="AF37" s="401"/>
      <c r="AG37" s="401">
        <f>'[35]Non Aspal'!$BU$16</f>
        <v>200</v>
      </c>
      <c r="AH37" s="401">
        <f>[35]Aspal!$BH$29</f>
        <v>1600</v>
      </c>
      <c r="AI37" s="401">
        <f>[35]Aspal!$BI$29</f>
        <v>800</v>
      </c>
      <c r="AJ37" s="401">
        <f>[35]Aspal!$BJ$29</f>
        <v>0</v>
      </c>
      <c r="AK37" s="401">
        <f>[35]Aspal!$BK$29+'[35]Non Aspal'!$BW$15</f>
        <v>600</v>
      </c>
    </row>
    <row r="38" spans="1:37" ht="20.100000000000001" customHeight="1" x14ac:dyDescent="0.2">
      <c r="A38" s="104"/>
      <c r="B38" s="298" t="s">
        <v>296</v>
      </c>
      <c r="C38" s="287">
        <v>27</v>
      </c>
      <c r="D38" s="292" t="s">
        <v>223</v>
      </c>
      <c r="E38" s="293"/>
      <c r="F38" s="294"/>
      <c r="G38" s="288" t="s">
        <v>347</v>
      </c>
      <c r="H38" s="289">
        <v>10.199999999999999</v>
      </c>
      <c r="I38" s="363">
        <v>4</v>
      </c>
      <c r="J38" s="309">
        <f t="shared" si="0"/>
        <v>66.666666666666671</v>
      </c>
      <c r="K38" s="371">
        <f t="shared" si="13"/>
        <v>6.8000000000000007</v>
      </c>
      <c r="L38" s="290">
        <f t="shared" si="1"/>
        <v>0</v>
      </c>
      <c r="M38" s="290">
        <f t="shared" si="2"/>
        <v>0</v>
      </c>
      <c r="N38" s="308">
        <f t="shared" si="3"/>
        <v>33.333333333333336</v>
      </c>
      <c r="O38" s="381">
        <f t="shared" si="14"/>
        <v>3.4000000000000004</v>
      </c>
      <c r="P38" s="351">
        <f t="shared" si="4"/>
        <v>0.23529411764705882</v>
      </c>
      <c r="Q38" s="290">
        <f t="shared" si="8"/>
        <v>2.4</v>
      </c>
      <c r="R38" s="290">
        <f t="shared" si="5"/>
        <v>0.39215686274509809</v>
      </c>
      <c r="S38" s="290">
        <f t="shared" si="9"/>
        <v>4</v>
      </c>
      <c r="T38" s="290">
        <f t="shared" si="6"/>
        <v>3.921568627450981E-2</v>
      </c>
      <c r="U38" s="290">
        <f t="shared" si="10"/>
        <v>0.4</v>
      </c>
      <c r="V38" s="290">
        <f t="shared" si="7"/>
        <v>0.33333333333333337</v>
      </c>
      <c r="W38" s="308">
        <f t="shared" si="11"/>
        <v>3.4</v>
      </c>
      <c r="X38" s="312">
        <v>85</v>
      </c>
      <c r="Y38" s="290" t="s">
        <v>169</v>
      </c>
      <c r="Z38" s="297">
        <f t="shared" si="16"/>
        <v>100</v>
      </c>
      <c r="AC38" s="241"/>
      <c r="AD38" s="401">
        <f>[36]Aspal!$BN$52</f>
        <v>6800</v>
      </c>
      <c r="AE38" s="401"/>
      <c r="AF38" s="401"/>
      <c r="AG38" s="401">
        <f>'[36]Non Aspal'!$BU$32</f>
        <v>3400</v>
      </c>
      <c r="AH38" s="401">
        <f>[36]Aspal!$BH$49</f>
        <v>2400</v>
      </c>
      <c r="AI38" s="401">
        <f>[36]Aspal!$BI$49</f>
        <v>4000</v>
      </c>
      <c r="AJ38" s="401">
        <f>[36]Aspal!$BJ$49</f>
        <v>400</v>
      </c>
      <c r="AK38" s="401">
        <f>'[36]Non Aspal'!$BU$32</f>
        <v>3400</v>
      </c>
    </row>
    <row r="39" spans="1:37" ht="20.100000000000001" customHeight="1" x14ac:dyDescent="0.2">
      <c r="A39" s="104"/>
      <c r="B39" s="298" t="s">
        <v>297</v>
      </c>
      <c r="C39" s="287">
        <v>28</v>
      </c>
      <c r="D39" s="292" t="s">
        <v>224</v>
      </c>
      <c r="E39" s="293"/>
      <c r="F39" s="294"/>
      <c r="G39" s="288" t="s">
        <v>346</v>
      </c>
      <c r="H39" s="289">
        <v>3</v>
      </c>
      <c r="I39" s="363">
        <v>4</v>
      </c>
      <c r="J39" s="309">
        <f t="shared" si="0"/>
        <v>100</v>
      </c>
      <c r="K39" s="371">
        <f t="shared" si="13"/>
        <v>3</v>
      </c>
      <c r="L39" s="290">
        <f t="shared" si="1"/>
        <v>0</v>
      </c>
      <c r="M39" s="290">
        <f t="shared" si="2"/>
        <v>0</v>
      </c>
      <c r="N39" s="308">
        <f t="shared" si="3"/>
        <v>0</v>
      </c>
      <c r="O39" s="381">
        <f t="shared" si="14"/>
        <v>0</v>
      </c>
      <c r="P39" s="351">
        <f t="shared" si="4"/>
        <v>0</v>
      </c>
      <c r="Q39" s="290">
        <f t="shared" si="8"/>
        <v>0</v>
      </c>
      <c r="R39" s="290">
        <f t="shared" si="5"/>
        <v>0</v>
      </c>
      <c r="S39" s="290">
        <f t="shared" si="9"/>
        <v>0</v>
      </c>
      <c r="T39" s="290">
        <f t="shared" si="6"/>
        <v>0.53333333333333333</v>
      </c>
      <c r="U39" s="290">
        <f t="shared" si="10"/>
        <v>1.6</v>
      </c>
      <c r="V39" s="290">
        <f t="shared" si="7"/>
        <v>0.46666666666666662</v>
      </c>
      <c r="W39" s="308">
        <f t="shared" si="11"/>
        <v>1.4</v>
      </c>
      <c r="X39" s="312">
        <v>105</v>
      </c>
      <c r="Y39" s="290" t="s">
        <v>358</v>
      </c>
      <c r="Z39" s="297">
        <f t="shared" si="16"/>
        <v>100</v>
      </c>
      <c r="AC39" s="241"/>
      <c r="AD39" s="401">
        <f>[37]Aspal!$BN$33</f>
        <v>3000</v>
      </c>
      <c r="AE39" s="401"/>
      <c r="AF39" s="401"/>
      <c r="AG39" s="401"/>
      <c r="AH39" s="401">
        <f>[37]Aspal!$BH$30</f>
        <v>0</v>
      </c>
      <c r="AI39" s="401">
        <f>[37]Aspal!$BI$30</f>
        <v>0</v>
      </c>
      <c r="AJ39" s="401">
        <f>[37]Aspal!$BJ$30</f>
        <v>1600</v>
      </c>
      <c r="AK39" s="401">
        <f>[37]Aspal!$BK$30</f>
        <v>1400</v>
      </c>
    </row>
    <row r="40" spans="1:37" ht="20.100000000000001" customHeight="1" x14ac:dyDescent="0.2">
      <c r="A40" s="104"/>
      <c r="B40" s="298" t="s">
        <v>298</v>
      </c>
      <c r="C40" s="287">
        <v>29</v>
      </c>
      <c r="D40" s="292" t="s">
        <v>225</v>
      </c>
      <c r="E40" s="293"/>
      <c r="F40" s="294"/>
      <c r="G40" s="288" t="s">
        <v>346</v>
      </c>
      <c r="H40" s="289">
        <v>5</v>
      </c>
      <c r="I40" s="363">
        <v>3.5</v>
      </c>
      <c r="J40" s="309">
        <f t="shared" si="0"/>
        <v>88.000000000000014</v>
      </c>
      <c r="K40" s="371">
        <f t="shared" si="13"/>
        <v>4.4000000000000004</v>
      </c>
      <c r="L40" s="290">
        <f t="shared" si="1"/>
        <v>0</v>
      </c>
      <c r="M40" s="290">
        <f t="shared" si="2"/>
        <v>0</v>
      </c>
      <c r="N40" s="308">
        <f t="shared" si="3"/>
        <v>12</v>
      </c>
      <c r="O40" s="381">
        <f t="shared" si="14"/>
        <v>0.6</v>
      </c>
      <c r="P40" s="351">
        <f t="shared" si="4"/>
        <v>0.08</v>
      </c>
      <c r="Q40" s="290">
        <f t="shared" si="8"/>
        <v>0.4</v>
      </c>
      <c r="R40" s="290">
        <f t="shared" si="5"/>
        <v>0.32</v>
      </c>
      <c r="S40" s="290">
        <f t="shared" si="9"/>
        <v>1.6</v>
      </c>
      <c r="T40" s="290">
        <f t="shared" si="6"/>
        <v>0.2</v>
      </c>
      <c r="U40" s="290">
        <f t="shared" si="10"/>
        <v>1</v>
      </c>
      <c r="V40" s="290">
        <f t="shared" si="7"/>
        <v>0.4</v>
      </c>
      <c r="W40" s="308">
        <f t="shared" si="11"/>
        <v>2</v>
      </c>
      <c r="X40" s="312">
        <v>15</v>
      </c>
      <c r="Y40" s="290" t="s">
        <v>358</v>
      </c>
      <c r="Z40" s="297">
        <f t="shared" si="16"/>
        <v>100</v>
      </c>
      <c r="AC40" s="241"/>
      <c r="AD40" s="401">
        <f>[38]Aspal!$BN$40</f>
        <v>4400</v>
      </c>
      <c r="AE40" s="401"/>
      <c r="AF40" s="401"/>
      <c r="AG40" s="401">
        <f>'[38]Non Aspal'!$BU$18</f>
        <v>600</v>
      </c>
      <c r="AH40" s="401">
        <f>[38]Aspal!$BH$37</f>
        <v>400</v>
      </c>
      <c r="AI40" s="401">
        <f>[38]Aspal!$BI$37</f>
        <v>1600</v>
      </c>
      <c r="AJ40" s="401">
        <f>[38]Aspal!$BJ$37</f>
        <v>1000</v>
      </c>
      <c r="AK40" s="401">
        <f>[38]Aspal!$BK$37+'[38]Non Aspal'!$BW$17</f>
        <v>2000</v>
      </c>
    </row>
    <row r="41" spans="1:37" ht="20.100000000000001" customHeight="1" x14ac:dyDescent="0.2">
      <c r="A41" s="104"/>
      <c r="B41" s="298" t="s">
        <v>299</v>
      </c>
      <c r="C41" s="287">
        <v>30</v>
      </c>
      <c r="D41" s="292" t="s">
        <v>226</v>
      </c>
      <c r="E41" s="293"/>
      <c r="F41" s="294"/>
      <c r="G41" s="288" t="s">
        <v>346</v>
      </c>
      <c r="H41" s="289">
        <v>4</v>
      </c>
      <c r="I41" s="363">
        <v>3.5</v>
      </c>
      <c r="J41" s="309">
        <f t="shared" si="0"/>
        <v>100</v>
      </c>
      <c r="K41" s="371">
        <f t="shared" si="13"/>
        <v>4</v>
      </c>
      <c r="L41" s="290">
        <f t="shared" si="1"/>
        <v>0</v>
      </c>
      <c r="M41" s="290">
        <f t="shared" si="2"/>
        <v>0</v>
      </c>
      <c r="N41" s="308">
        <f t="shared" si="3"/>
        <v>0</v>
      </c>
      <c r="O41" s="381">
        <f t="shared" si="14"/>
        <v>0</v>
      </c>
      <c r="P41" s="351">
        <f t="shared" si="4"/>
        <v>0</v>
      </c>
      <c r="Q41" s="290">
        <f t="shared" si="8"/>
        <v>0</v>
      </c>
      <c r="R41" s="290">
        <f t="shared" si="5"/>
        <v>0.15</v>
      </c>
      <c r="S41" s="290">
        <f t="shared" si="9"/>
        <v>0.6</v>
      </c>
      <c r="T41" s="290">
        <f t="shared" si="6"/>
        <v>0.7</v>
      </c>
      <c r="U41" s="290">
        <f t="shared" si="10"/>
        <v>2.8</v>
      </c>
      <c r="V41" s="290">
        <f t="shared" si="7"/>
        <v>0.15</v>
      </c>
      <c r="W41" s="308">
        <f t="shared" si="11"/>
        <v>0.6</v>
      </c>
      <c r="X41" s="312">
        <v>50</v>
      </c>
      <c r="Y41" s="290" t="s">
        <v>169</v>
      </c>
      <c r="Z41" s="297">
        <f t="shared" si="16"/>
        <v>100</v>
      </c>
      <c r="AC41" s="241"/>
      <c r="AD41" s="401">
        <f>[39]Aspal!$BN$38</f>
        <v>4000</v>
      </c>
      <c r="AE41" s="401"/>
      <c r="AF41" s="401"/>
      <c r="AG41" s="401"/>
      <c r="AH41" s="401">
        <f>[39]Aspal!$BH$35</f>
        <v>0</v>
      </c>
      <c r="AI41" s="401">
        <f>[39]Aspal!$BI$35</f>
        <v>600</v>
      </c>
      <c r="AJ41" s="401">
        <f>[39]Aspal!$BJ$35</f>
        <v>2800</v>
      </c>
      <c r="AK41" s="401">
        <f>[39]Aspal!$BK$35</f>
        <v>600</v>
      </c>
    </row>
    <row r="42" spans="1:37" ht="20.100000000000001" customHeight="1" x14ac:dyDescent="0.2">
      <c r="A42" s="104"/>
      <c r="B42" s="298" t="s">
        <v>300</v>
      </c>
      <c r="C42" s="287">
        <v>31</v>
      </c>
      <c r="D42" s="292" t="s">
        <v>227</v>
      </c>
      <c r="E42" s="293"/>
      <c r="F42" s="294"/>
      <c r="G42" s="288" t="s">
        <v>346</v>
      </c>
      <c r="H42" s="289">
        <v>2</v>
      </c>
      <c r="I42" s="363">
        <v>3.5</v>
      </c>
      <c r="J42" s="309">
        <f t="shared" si="0"/>
        <v>0</v>
      </c>
      <c r="K42" s="371">
        <f t="shared" si="13"/>
        <v>0</v>
      </c>
      <c r="L42" s="290">
        <f t="shared" si="1"/>
        <v>0</v>
      </c>
      <c r="M42" s="290">
        <f t="shared" si="2"/>
        <v>0</v>
      </c>
      <c r="N42" s="308">
        <f t="shared" si="3"/>
        <v>100</v>
      </c>
      <c r="O42" s="381">
        <f t="shared" si="14"/>
        <v>2</v>
      </c>
      <c r="P42" s="351">
        <f t="shared" si="4"/>
        <v>0</v>
      </c>
      <c r="Q42" s="290">
        <f t="shared" si="8"/>
        <v>0</v>
      </c>
      <c r="R42" s="290">
        <f t="shared" si="5"/>
        <v>0</v>
      </c>
      <c r="S42" s="290">
        <f t="shared" si="9"/>
        <v>0</v>
      </c>
      <c r="T42" s="290">
        <f t="shared" si="6"/>
        <v>0</v>
      </c>
      <c r="U42" s="290">
        <f t="shared" si="10"/>
        <v>0</v>
      </c>
      <c r="V42" s="290">
        <f t="shared" si="7"/>
        <v>1</v>
      </c>
      <c r="W42" s="308">
        <f t="shared" si="11"/>
        <v>2</v>
      </c>
      <c r="X42" s="312">
        <v>35</v>
      </c>
      <c r="Y42" s="290" t="s">
        <v>169</v>
      </c>
      <c r="Z42" s="297">
        <f t="shared" si="16"/>
        <v>100</v>
      </c>
      <c r="AC42" s="241"/>
      <c r="AD42" s="401"/>
      <c r="AE42" s="401"/>
      <c r="AF42" s="401"/>
      <c r="AG42" s="401">
        <f>'[40]Non Aspal'!$BU$49</f>
        <v>2000</v>
      </c>
      <c r="AH42" s="401"/>
      <c r="AI42" s="401"/>
      <c r="AJ42" s="401"/>
      <c r="AK42" s="401">
        <f>'[40]Non Aspal'!$BU$49</f>
        <v>2000</v>
      </c>
    </row>
    <row r="43" spans="1:37" ht="20.100000000000001" customHeight="1" x14ac:dyDescent="0.2">
      <c r="A43" s="104"/>
      <c r="B43" s="298" t="s">
        <v>301</v>
      </c>
      <c r="C43" s="287">
        <v>32</v>
      </c>
      <c r="D43" s="292" t="s">
        <v>228</v>
      </c>
      <c r="E43" s="293"/>
      <c r="F43" s="294"/>
      <c r="G43" s="288" t="s">
        <v>346</v>
      </c>
      <c r="H43" s="289">
        <v>5</v>
      </c>
      <c r="I43" s="363">
        <v>3.75</v>
      </c>
      <c r="J43" s="309">
        <f t="shared" si="0"/>
        <v>100</v>
      </c>
      <c r="K43" s="371">
        <f t="shared" si="13"/>
        <v>5</v>
      </c>
      <c r="L43" s="290">
        <f t="shared" si="1"/>
        <v>0</v>
      </c>
      <c r="M43" s="290">
        <f t="shared" si="2"/>
        <v>0</v>
      </c>
      <c r="N43" s="308">
        <f t="shared" si="3"/>
        <v>0</v>
      </c>
      <c r="O43" s="381">
        <f t="shared" si="14"/>
        <v>0</v>
      </c>
      <c r="P43" s="351">
        <f t="shared" si="4"/>
        <v>0</v>
      </c>
      <c r="Q43" s="290">
        <f t="shared" si="8"/>
        <v>0</v>
      </c>
      <c r="R43" s="290">
        <f t="shared" si="5"/>
        <v>0.24</v>
      </c>
      <c r="S43" s="290">
        <f t="shared" si="9"/>
        <v>1.2</v>
      </c>
      <c r="T43" s="290">
        <f t="shared" si="6"/>
        <v>0.16</v>
      </c>
      <c r="U43" s="290">
        <f t="shared" si="10"/>
        <v>0.8</v>
      </c>
      <c r="V43" s="290">
        <f t="shared" si="7"/>
        <v>0.6</v>
      </c>
      <c r="W43" s="308">
        <f t="shared" si="11"/>
        <v>3</v>
      </c>
      <c r="X43" s="312">
        <v>75</v>
      </c>
      <c r="Y43" s="290" t="s">
        <v>190</v>
      </c>
      <c r="Z43" s="297">
        <f t="shared" si="16"/>
        <v>100</v>
      </c>
      <c r="AC43" s="241"/>
      <c r="AD43" s="401">
        <f>[41]Aspal!$BN$43</f>
        <v>5000</v>
      </c>
      <c r="AE43" s="401"/>
      <c r="AF43" s="401"/>
      <c r="AG43" s="401"/>
      <c r="AH43" s="401">
        <f>[41]Aspal!$BH$40</f>
        <v>0</v>
      </c>
      <c r="AI43" s="401">
        <f>[41]Aspal!$BI$40</f>
        <v>1200</v>
      </c>
      <c r="AJ43" s="401">
        <f>[41]Aspal!$BJ$40</f>
        <v>800</v>
      </c>
      <c r="AK43" s="401">
        <f>[41]Aspal!$BK$40</f>
        <v>3000</v>
      </c>
    </row>
    <row r="44" spans="1:37" ht="20.100000000000001" customHeight="1" x14ac:dyDescent="0.2">
      <c r="A44" s="104"/>
      <c r="B44" s="298" t="s">
        <v>302</v>
      </c>
      <c r="C44" s="287">
        <v>33</v>
      </c>
      <c r="D44" s="292" t="s">
        <v>229</v>
      </c>
      <c r="E44" s="293"/>
      <c r="F44" s="294"/>
      <c r="G44" s="288" t="s">
        <v>346</v>
      </c>
      <c r="H44" s="289">
        <v>2.4</v>
      </c>
      <c r="I44" s="363">
        <v>3.5</v>
      </c>
      <c r="J44" s="309">
        <f t="shared" ref="J44:J75" si="17">((AD44/1000)/H44)*100</f>
        <v>100</v>
      </c>
      <c r="K44" s="371">
        <f t="shared" si="13"/>
        <v>2.4</v>
      </c>
      <c r="L44" s="290">
        <f t="shared" ref="L44:L75" si="18">((AE44/1000)/H44)*100</f>
        <v>0</v>
      </c>
      <c r="M44" s="290">
        <f t="shared" ref="M44:M75" si="19">((AF44/1000)/H44)*100</f>
        <v>0</v>
      </c>
      <c r="N44" s="308">
        <f t="shared" ref="N44:N75" si="20">((AG44/1000)/H44)*100</f>
        <v>0</v>
      </c>
      <c r="O44" s="381">
        <f t="shared" si="14"/>
        <v>0</v>
      </c>
      <c r="P44" s="351">
        <f t="shared" ref="P44:P75" si="21">Q44/H44</f>
        <v>0</v>
      </c>
      <c r="Q44" s="290">
        <f t="shared" si="8"/>
        <v>0</v>
      </c>
      <c r="R44" s="290">
        <f t="shared" ref="R44:R75" si="22">S44/H44</f>
        <v>0.25</v>
      </c>
      <c r="S44" s="290">
        <f t="shared" si="9"/>
        <v>0.6</v>
      </c>
      <c r="T44" s="290">
        <f t="shared" ref="T44:T75" si="23">U44/H44</f>
        <v>0</v>
      </c>
      <c r="U44" s="290">
        <f t="shared" si="10"/>
        <v>0</v>
      </c>
      <c r="V44" s="290">
        <f t="shared" ref="V44:V75" si="24">W44/H44</f>
        <v>0.75</v>
      </c>
      <c r="W44" s="308">
        <f t="shared" si="11"/>
        <v>1.8</v>
      </c>
      <c r="X44" s="312">
        <v>80</v>
      </c>
      <c r="Y44" s="290" t="s">
        <v>190</v>
      </c>
      <c r="Z44" s="297">
        <f t="shared" si="16"/>
        <v>100</v>
      </c>
      <c r="AC44" s="241"/>
      <c r="AD44" s="401">
        <f>[42]Aspal!$BN$53</f>
        <v>2400</v>
      </c>
      <c r="AE44" s="401"/>
      <c r="AF44" s="401"/>
      <c r="AG44" s="401"/>
      <c r="AH44" s="401">
        <f>[42]Aspal!$BH$50</f>
        <v>0</v>
      </c>
      <c r="AI44" s="401">
        <f>[42]Aspal!$BI$50</f>
        <v>600</v>
      </c>
      <c r="AJ44" s="401">
        <f>[42]Aspal!$BJ$50</f>
        <v>0</v>
      </c>
      <c r="AK44" s="401">
        <f>[42]Aspal!$BK$50</f>
        <v>1800</v>
      </c>
    </row>
    <row r="45" spans="1:37" ht="20.100000000000001" customHeight="1" x14ac:dyDescent="0.2">
      <c r="A45" s="104"/>
      <c r="B45" s="298" t="s">
        <v>303</v>
      </c>
      <c r="C45" s="287">
        <v>34</v>
      </c>
      <c r="D45" s="292" t="s">
        <v>230</v>
      </c>
      <c r="E45" s="293"/>
      <c r="F45" s="294"/>
      <c r="G45" s="288" t="s">
        <v>346</v>
      </c>
      <c r="H45" s="289">
        <v>5</v>
      </c>
      <c r="I45" s="363">
        <v>3.5</v>
      </c>
      <c r="J45" s="309">
        <f t="shared" si="17"/>
        <v>0</v>
      </c>
      <c r="K45" s="371">
        <f t="shared" si="13"/>
        <v>0</v>
      </c>
      <c r="L45" s="290">
        <f t="shared" si="18"/>
        <v>0</v>
      </c>
      <c r="M45" s="290">
        <f t="shared" si="19"/>
        <v>0</v>
      </c>
      <c r="N45" s="308">
        <f t="shared" si="20"/>
        <v>100</v>
      </c>
      <c r="O45" s="381">
        <f t="shared" si="14"/>
        <v>5</v>
      </c>
      <c r="P45" s="351">
        <f t="shared" si="21"/>
        <v>0</v>
      </c>
      <c r="Q45" s="290">
        <f t="shared" si="8"/>
        <v>0</v>
      </c>
      <c r="R45" s="290">
        <f t="shared" si="22"/>
        <v>0</v>
      </c>
      <c r="S45" s="290">
        <f t="shared" si="9"/>
        <v>0</v>
      </c>
      <c r="T45" s="290">
        <f t="shared" si="23"/>
        <v>0</v>
      </c>
      <c r="U45" s="290">
        <f t="shared" si="10"/>
        <v>0</v>
      </c>
      <c r="V45" s="290">
        <f t="shared" si="24"/>
        <v>1</v>
      </c>
      <c r="W45" s="308">
        <f t="shared" si="11"/>
        <v>5</v>
      </c>
      <c r="X45" s="312">
        <v>55</v>
      </c>
      <c r="Y45" s="290" t="s">
        <v>169</v>
      </c>
      <c r="Z45" s="297">
        <f t="shared" si="16"/>
        <v>100</v>
      </c>
      <c r="AC45" s="241"/>
      <c r="AD45" s="401"/>
      <c r="AE45" s="401"/>
      <c r="AF45" s="401"/>
      <c r="AG45" s="401">
        <f>'[43]Non Aspal'!$BW$49</f>
        <v>5000</v>
      </c>
      <c r="AH45" s="401"/>
      <c r="AI45" s="401"/>
      <c r="AJ45" s="401"/>
      <c r="AK45" s="401">
        <f>'[43]Non Aspal'!$BU$50</f>
        <v>5000</v>
      </c>
    </row>
    <row r="46" spans="1:37" ht="20.100000000000001" customHeight="1" x14ac:dyDescent="0.2">
      <c r="A46" s="104"/>
      <c r="B46" s="298" t="s">
        <v>304</v>
      </c>
      <c r="C46" s="287">
        <v>35</v>
      </c>
      <c r="D46" s="292" t="s">
        <v>231</v>
      </c>
      <c r="E46" s="293"/>
      <c r="F46" s="294"/>
      <c r="G46" s="288" t="s">
        <v>346</v>
      </c>
      <c r="H46" s="289">
        <v>2.5</v>
      </c>
      <c r="I46" s="363">
        <v>3.5</v>
      </c>
      <c r="J46" s="309">
        <f t="shared" si="17"/>
        <v>0</v>
      </c>
      <c r="K46" s="371">
        <f t="shared" si="13"/>
        <v>0</v>
      </c>
      <c r="L46" s="290">
        <f t="shared" si="18"/>
        <v>0</v>
      </c>
      <c r="M46" s="290">
        <f t="shared" si="19"/>
        <v>0</v>
      </c>
      <c r="N46" s="308">
        <f t="shared" si="20"/>
        <v>100</v>
      </c>
      <c r="O46" s="381">
        <f t="shared" si="14"/>
        <v>2.5</v>
      </c>
      <c r="P46" s="351">
        <f t="shared" si="21"/>
        <v>0</v>
      </c>
      <c r="Q46" s="290">
        <f t="shared" si="8"/>
        <v>0</v>
      </c>
      <c r="R46" s="290">
        <f t="shared" si="22"/>
        <v>0</v>
      </c>
      <c r="S46" s="290">
        <f t="shared" si="9"/>
        <v>0</v>
      </c>
      <c r="T46" s="290">
        <f t="shared" si="23"/>
        <v>0</v>
      </c>
      <c r="U46" s="290">
        <f t="shared" si="10"/>
        <v>0</v>
      </c>
      <c r="V46" s="290">
        <f t="shared" si="24"/>
        <v>1</v>
      </c>
      <c r="W46" s="308">
        <f t="shared" si="11"/>
        <v>2.5</v>
      </c>
      <c r="X46" s="312">
        <v>50</v>
      </c>
      <c r="Y46" s="290" t="s">
        <v>358</v>
      </c>
      <c r="Z46" s="297">
        <f t="shared" si="16"/>
        <v>100</v>
      </c>
      <c r="AC46" s="241"/>
      <c r="AD46" s="401"/>
      <c r="AE46" s="401"/>
      <c r="AF46" s="401"/>
      <c r="AG46" s="401">
        <f>'[44]Non Aspal'!$BU$28</f>
        <v>2500</v>
      </c>
      <c r="AH46" s="401"/>
      <c r="AI46" s="401"/>
      <c r="AJ46" s="401"/>
      <c r="AK46" s="401">
        <f>'[44]Non Aspal'!$BU$28</f>
        <v>2500</v>
      </c>
    </row>
    <row r="47" spans="1:37" ht="20.100000000000001" customHeight="1" x14ac:dyDescent="0.2">
      <c r="A47" s="104"/>
      <c r="B47" s="298" t="s">
        <v>305</v>
      </c>
      <c r="C47" s="287">
        <v>36</v>
      </c>
      <c r="D47" s="292" t="s">
        <v>232</v>
      </c>
      <c r="E47" s="293"/>
      <c r="F47" s="294"/>
      <c r="G47" s="288" t="s">
        <v>348</v>
      </c>
      <c r="H47" s="289">
        <v>4.2</v>
      </c>
      <c r="I47" s="363">
        <v>4</v>
      </c>
      <c r="J47" s="309">
        <f t="shared" si="17"/>
        <v>100</v>
      </c>
      <c r="K47" s="371">
        <f t="shared" si="13"/>
        <v>4.2</v>
      </c>
      <c r="L47" s="290">
        <f t="shared" si="18"/>
        <v>0</v>
      </c>
      <c r="M47" s="290">
        <f t="shared" si="19"/>
        <v>0</v>
      </c>
      <c r="N47" s="308">
        <f t="shared" si="20"/>
        <v>0</v>
      </c>
      <c r="O47" s="381">
        <f t="shared" si="14"/>
        <v>0</v>
      </c>
      <c r="P47" s="351">
        <f t="shared" si="21"/>
        <v>0.61904761904761907</v>
      </c>
      <c r="Q47" s="290">
        <f t="shared" si="8"/>
        <v>2.6</v>
      </c>
      <c r="R47" s="290">
        <f t="shared" si="22"/>
        <v>0.23809523809523808</v>
      </c>
      <c r="S47" s="290">
        <f t="shared" si="9"/>
        <v>1</v>
      </c>
      <c r="T47" s="290">
        <f t="shared" si="23"/>
        <v>0.14285714285714285</v>
      </c>
      <c r="U47" s="290">
        <f t="shared" si="10"/>
        <v>0.6</v>
      </c>
      <c r="V47" s="290">
        <f t="shared" si="24"/>
        <v>0</v>
      </c>
      <c r="W47" s="308">
        <f t="shared" si="11"/>
        <v>0</v>
      </c>
      <c r="X47" s="312">
        <v>175</v>
      </c>
      <c r="Y47" s="290" t="s">
        <v>358</v>
      </c>
      <c r="Z47" s="297">
        <f t="shared" si="16"/>
        <v>100</v>
      </c>
      <c r="AC47" s="241"/>
      <c r="AD47" s="401">
        <f>[45]Aspal!$BN$39</f>
        <v>4200</v>
      </c>
      <c r="AE47" s="401"/>
      <c r="AF47" s="401"/>
      <c r="AG47" s="401"/>
      <c r="AH47" s="401">
        <f>[45]Aspal!$BH$36</f>
        <v>2600</v>
      </c>
      <c r="AI47" s="401">
        <f>[45]Aspal!$BI$36</f>
        <v>1000</v>
      </c>
      <c r="AJ47" s="401">
        <f>[45]Aspal!$BJ$36</f>
        <v>600</v>
      </c>
      <c r="AK47" s="401">
        <f>[45]Aspal!$BK$36</f>
        <v>0</v>
      </c>
    </row>
    <row r="48" spans="1:37" ht="20.100000000000001" customHeight="1" x14ac:dyDescent="0.2">
      <c r="A48" s="104"/>
      <c r="B48" s="298" t="s">
        <v>306</v>
      </c>
      <c r="C48" s="287">
        <v>37</v>
      </c>
      <c r="D48" s="292" t="s">
        <v>233</v>
      </c>
      <c r="E48" s="293"/>
      <c r="F48" s="294"/>
      <c r="G48" s="288" t="s">
        <v>348</v>
      </c>
      <c r="H48" s="289">
        <v>5</v>
      </c>
      <c r="I48" s="363">
        <v>3.5</v>
      </c>
      <c r="J48" s="309">
        <f t="shared" si="17"/>
        <v>8</v>
      </c>
      <c r="K48" s="371">
        <f t="shared" si="13"/>
        <v>0.4</v>
      </c>
      <c r="L48" s="290">
        <f t="shared" si="18"/>
        <v>0</v>
      </c>
      <c r="M48" s="290">
        <f t="shared" si="19"/>
        <v>0</v>
      </c>
      <c r="N48" s="308">
        <f t="shared" si="20"/>
        <v>92</v>
      </c>
      <c r="O48" s="381">
        <f t="shared" si="14"/>
        <v>4.6000000000000005</v>
      </c>
      <c r="P48" s="351">
        <f t="shared" si="21"/>
        <v>0.04</v>
      </c>
      <c r="Q48" s="290">
        <f t="shared" si="8"/>
        <v>0.2</v>
      </c>
      <c r="R48" s="290">
        <f t="shared" si="22"/>
        <v>0.04</v>
      </c>
      <c r="S48" s="290">
        <f t="shared" si="9"/>
        <v>0.2</v>
      </c>
      <c r="T48" s="290">
        <f t="shared" si="23"/>
        <v>0</v>
      </c>
      <c r="U48" s="290">
        <f t="shared" si="10"/>
        <v>0</v>
      </c>
      <c r="V48" s="290">
        <f t="shared" si="24"/>
        <v>0.91999999999999993</v>
      </c>
      <c r="W48" s="308">
        <f t="shared" si="11"/>
        <v>4.5999999999999996</v>
      </c>
      <c r="X48" s="312">
        <v>35</v>
      </c>
      <c r="Y48" s="290" t="s">
        <v>169</v>
      </c>
      <c r="Z48" s="297">
        <f t="shared" si="16"/>
        <v>99.999999999999986</v>
      </c>
      <c r="AC48" s="241"/>
      <c r="AD48" s="401">
        <f>[46]Aspal!$BN$20</f>
        <v>400</v>
      </c>
      <c r="AE48" s="401"/>
      <c r="AF48" s="401"/>
      <c r="AG48" s="401">
        <f>'[46]Non Aspal'!$BW$37</f>
        <v>4600</v>
      </c>
      <c r="AH48" s="401">
        <f>[46]Aspal!$BH$17</f>
        <v>200</v>
      </c>
      <c r="AI48" s="401">
        <f>[46]Aspal!$BI$17</f>
        <v>200</v>
      </c>
      <c r="AJ48" s="401">
        <f>[46]Aspal!$BJ$17</f>
        <v>0</v>
      </c>
      <c r="AK48" s="401">
        <f>[46]Aspal!$BK$17+'[46]Non Aspal'!$BU$38</f>
        <v>4600</v>
      </c>
    </row>
    <row r="49" spans="1:37" ht="20.100000000000001" customHeight="1" x14ac:dyDescent="0.2">
      <c r="A49" s="104"/>
      <c r="B49" s="298" t="s">
        <v>307</v>
      </c>
      <c r="C49" s="287">
        <v>38</v>
      </c>
      <c r="D49" s="292" t="s">
        <v>234</v>
      </c>
      <c r="E49" s="293"/>
      <c r="F49" s="294"/>
      <c r="G49" s="288" t="s">
        <v>348</v>
      </c>
      <c r="H49" s="289">
        <v>3</v>
      </c>
      <c r="I49" s="363">
        <v>3.5</v>
      </c>
      <c r="J49" s="309">
        <f t="shared" si="17"/>
        <v>100</v>
      </c>
      <c r="K49" s="371">
        <f t="shared" si="13"/>
        <v>3</v>
      </c>
      <c r="L49" s="290">
        <f t="shared" si="18"/>
        <v>0</v>
      </c>
      <c r="M49" s="290">
        <f t="shared" si="19"/>
        <v>0</v>
      </c>
      <c r="N49" s="308">
        <f t="shared" si="20"/>
        <v>0</v>
      </c>
      <c r="O49" s="381">
        <f t="shared" si="14"/>
        <v>0</v>
      </c>
      <c r="P49" s="351">
        <f t="shared" si="21"/>
        <v>0.93333333333333324</v>
      </c>
      <c r="Q49" s="290">
        <f>AH49/1000</f>
        <v>2.8</v>
      </c>
      <c r="R49" s="290">
        <f t="shared" si="22"/>
        <v>0</v>
      </c>
      <c r="S49" s="290">
        <f t="shared" si="9"/>
        <v>0</v>
      </c>
      <c r="T49" s="290">
        <f t="shared" si="23"/>
        <v>6.6666666666666666E-2</v>
      </c>
      <c r="U49" s="290">
        <f>AJ49/1000</f>
        <v>0.2</v>
      </c>
      <c r="V49" s="290">
        <f t="shared" si="24"/>
        <v>0</v>
      </c>
      <c r="W49" s="308">
        <f t="shared" si="11"/>
        <v>0</v>
      </c>
      <c r="X49" s="312">
        <v>25</v>
      </c>
      <c r="Y49" s="290" t="s">
        <v>169</v>
      </c>
      <c r="Z49" s="297">
        <f t="shared" si="16"/>
        <v>99.999999999999986</v>
      </c>
      <c r="AC49" s="241"/>
      <c r="AD49" s="401">
        <f>[47]Aspal!$BN$33</f>
        <v>3000</v>
      </c>
      <c r="AE49" s="401"/>
      <c r="AF49" s="401"/>
      <c r="AG49" s="401"/>
      <c r="AH49" s="401">
        <f>[47]Aspal!$BH$30</f>
        <v>2800</v>
      </c>
      <c r="AI49" s="401">
        <f>[47]Aspal!$BI$30</f>
        <v>0</v>
      </c>
      <c r="AJ49" s="401">
        <f>[47]Aspal!$BJ$30</f>
        <v>200</v>
      </c>
      <c r="AK49" s="401">
        <f>[47]Aspal!$BK$30</f>
        <v>0</v>
      </c>
    </row>
    <row r="50" spans="1:37" ht="20.100000000000001" customHeight="1" x14ac:dyDescent="0.2">
      <c r="A50" s="104"/>
      <c r="B50" s="298" t="s">
        <v>308</v>
      </c>
      <c r="C50" s="287">
        <v>39</v>
      </c>
      <c r="D50" s="292" t="s">
        <v>235</v>
      </c>
      <c r="E50" s="293"/>
      <c r="F50" s="294"/>
      <c r="G50" s="288" t="s">
        <v>348</v>
      </c>
      <c r="H50" s="289">
        <v>13</v>
      </c>
      <c r="I50" s="363">
        <v>3.75</v>
      </c>
      <c r="J50" s="309">
        <f t="shared" si="17"/>
        <v>100</v>
      </c>
      <c r="K50" s="371">
        <f t="shared" si="13"/>
        <v>13</v>
      </c>
      <c r="L50" s="290">
        <f t="shared" si="18"/>
        <v>0</v>
      </c>
      <c r="M50" s="290">
        <f t="shared" si="19"/>
        <v>0</v>
      </c>
      <c r="N50" s="308">
        <f t="shared" si="20"/>
        <v>0</v>
      </c>
      <c r="O50" s="381">
        <f t="shared" si="14"/>
        <v>0</v>
      </c>
      <c r="P50" s="351">
        <f t="shared" si="21"/>
        <v>0.67692307692307696</v>
      </c>
      <c r="Q50" s="290">
        <f t="shared" si="8"/>
        <v>8.8000000000000007</v>
      </c>
      <c r="R50" s="290">
        <f t="shared" si="22"/>
        <v>4.6153846153846149E-2</v>
      </c>
      <c r="S50" s="290">
        <f t="shared" si="9"/>
        <v>0.6</v>
      </c>
      <c r="T50" s="290">
        <f t="shared" si="23"/>
        <v>0.26153846153846155</v>
      </c>
      <c r="U50" s="290">
        <f t="shared" si="10"/>
        <v>3.4</v>
      </c>
      <c r="V50" s="290">
        <f t="shared" si="24"/>
        <v>1.5384615384615385E-2</v>
      </c>
      <c r="W50" s="308">
        <f t="shared" si="11"/>
        <v>0.2</v>
      </c>
      <c r="X50" s="312">
        <v>150</v>
      </c>
      <c r="Y50" s="290" t="s">
        <v>169</v>
      </c>
      <c r="Z50" s="297">
        <f t="shared" si="16"/>
        <v>100</v>
      </c>
      <c r="AB50" s="114"/>
      <c r="AC50" s="241"/>
      <c r="AD50" s="401">
        <f>[48]Aspal!$BN$83</f>
        <v>13000</v>
      </c>
      <c r="AE50" s="401"/>
      <c r="AF50" s="401"/>
      <c r="AG50" s="401"/>
      <c r="AH50" s="401">
        <f>[48]Aspal!$BH$80</f>
        <v>8800</v>
      </c>
      <c r="AI50" s="401">
        <f>[48]Aspal!$BI$80</f>
        <v>600</v>
      </c>
      <c r="AJ50" s="401">
        <f>[48]Aspal!$BJ$80</f>
        <v>3400</v>
      </c>
      <c r="AK50" s="401">
        <f>[48]Aspal!$BK$80</f>
        <v>200</v>
      </c>
    </row>
    <row r="51" spans="1:37" ht="20.100000000000001" customHeight="1" x14ac:dyDescent="0.2">
      <c r="A51" s="104"/>
      <c r="B51" s="298" t="s">
        <v>309</v>
      </c>
      <c r="C51" s="287">
        <v>40</v>
      </c>
      <c r="D51" s="292" t="s">
        <v>236</v>
      </c>
      <c r="E51" s="293"/>
      <c r="F51" s="294"/>
      <c r="G51" s="288" t="s">
        <v>348</v>
      </c>
      <c r="H51" s="289">
        <v>8</v>
      </c>
      <c r="I51" s="363">
        <v>3.5</v>
      </c>
      <c r="J51" s="309">
        <f t="shared" si="17"/>
        <v>100</v>
      </c>
      <c r="K51" s="371">
        <f t="shared" si="13"/>
        <v>8</v>
      </c>
      <c r="L51" s="290">
        <f t="shared" si="18"/>
        <v>0</v>
      </c>
      <c r="M51" s="290">
        <f t="shared" si="19"/>
        <v>0</v>
      </c>
      <c r="N51" s="308">
        <f t="shared" si="20"/>
        <v>0</v>
      </c>
      <c r="O51" s="381">
        <f t="shared" si="14"/>
        <v>0</v>
      </c>
      <c r="P51" s="351">
        <f t="shared" si="21"/>
        <v>0.6</v>
      </c>
      <c r="Q51" s="290">
        <f t="shared" si="8"/>
        <v>4.8</v>
      </c>
      <c r="R51" s="290">
        <f t="shared" si="22"/>
        <v>0.15</v>
      </c>
      <c r="S51" s="290">
        <f t="shared" si="9"/>
        <v>1.2</v>
      </c>
      <c r="T51" s="290">
        <f t="shared" si="23"/>
        <v>0.25</v>
      </c>
      <c r="U51" s="290">
        <f t="shared" si="10"/>
        <v>2</v>
      </c>
      <c r="V51" s="290">
        <f t="shared" si="24"/>
        <v>0</v>
      </c>
      <c r="W51" s="308">
        <f t="shared" si="11"/>
        <v>0</v>
      </c>
      <c r="X51" s="312">
        <v>25</v>
      </c>
      <c r="Y51" s="290" t="s">
        <v>358</v>
      </c>
      <c r="Z51" s="297">
        <f t="shared" si="16"/>
        <v>100</v>
      </c>
      <c r="AC51" s="241"/>
      <c r="AD51" s="401">
        <f>[49]Aspal!$BN$58</f>
        <v>8000</v>
      </c>
      <c r="AE51" s="401"/>
      <c r="AF51" s="401"/>
      <c r="AG51" s="401"/>
      <c r="AH51" s="401">
        <f>[49]Aspal!$BH$55</f>
        <v>4800</v>
      </c>
      <c r="AI51" s="401">
        <f>[49]Aspal!$BI$55</f>
        <v>1200</v>
      </c>
      <c r="AJ51" s="401">
        <f>[49]Aspal!$BJ$55</f>
        <v>2000</v>
      </c>
      <c r="AK51" s="401">
        <f>[49]Aspal!$BK$55</f>
        <v>0</v>
      </c>
    </row>
    <row r="52" spans="1:37" ht="20.100000000000001" customHeight="1" x14ac:dyDescent="0.2">
      <c r="A52" s="104"/>
      <c r="B52" s="298" t="s">
        <v>310</v>
      </c>
      <c r="C52" s="287">
        <v>41</v>
      </c>
      <c r="D52" s="292" t="s">
        <v>237</v>
      </c>
      <c r="E52" s="293"/>
      <c r="F52" s="294"/>
      <c r="G52" s="288" t="s">
        <v>348</v>
      </c>
      <c r="H52" s="289">
        <v>3</v>
      </c>
      <c r="I52" s="363">
        <v>3.5</v>
      </c>
      <c r="J52" s="309">
        <f t="shared" si="17"/>
        <v>100</v>
      </c>
      <c r="K52" s="371">
        <f t="shared" si="13"/>
        <v>3</v>
      </c>
      <c r="L52" s="290">
        <f t="shared" si="18"/>
        <v>0</v>
      </c>
      <c r="M52" s="290">
        <f t="shared" si="19"/>
        <v>0</v>
      </c>
      <c r="N52" s="308">
        <f t="shared" si="20"/>
        <v>0</v>
      </c>
      <c r="O52" s="381">
        <f t="shared" si="14"/>
        <v>0</v>
      </c>
      <c r="P52" s="351">
        <f t="shared" si="21"/>
        <v>0.66666666666666663</v>
      </c>
      <c r="Q52" s="290">
        <f t="shared" si="8"/>
        <v>2</v>
      </c>
      <c r="R52" s="290">
        <f t="shared" si="22"/>
        <v>0.13333333333333333</v>
      </c>
      <c r="S52" s="290">
        <f t="shared" si="9"/>
        <v>0.4</v>
      </c>
      <c r="T52" s="290">
        <f t="shared" si="23"/>
        <v>0.19999999999999998</v>
      </c>
      <c r="U52" s="290">
        <f t="shared" si="10"/>
        <v>0.6</v>
      </c>
      <c r="V52" s="290">
        <f t="shared" si="24"/>
        <v>0</v>
      </c>
      <c r="W52" s="308">
        <f t="shared" si="11"/>
        <v>0</v>
      </c>
      <c r="X52" s="312">
        <v>25</v>
      </c>
      <c r="Y52" s="290" t="s">
        <v>169</v>
      </c>
      <c r="Z52" s="297">
        <f t="shared" si="16"/>
        <v>99.999999999999986</v>
      </c>
      <c r="AC52" s="241"/>
      <c r="AD52" s="401">
        <f>[50]Aspal!$BN$33</f>
        <v>3000</v>
      </c>
      <c r="AE52" s="401"/>
      <c r="AF52" s="401"/>
      <c r="AG52" s="401"/>
      <c r="AH52" s="401">
        <f>[50]Aspal!$BH$30</f>
        <v>2000</v>
      </c>
      <c r="AI52" s="401">
        <f>[50]Aspal!$BI$30</f>
        <v>400</v>
      </c>
      <c r="AJ52" s="401">
        <f>[50]Aspal!$BJ$30</f>
        <v>600</v>
      </c>
      <c r="AK52" s="401">
        <f>[50]Aspal!$BK$30</f>
        <v>0</v>
      </c>
    </row>
    <row r="53" spans="1:37" ht="20.100000000000001" customHeight="1" x14ac:dyDescent="0.2">
      <c r="A53" s="104"/>
      <c r="B53" s="298" t="s">
        <v>311</v>
      </c>
      <c r="C53" s="287">
        <v>42</v>
      </c>
      <c r="D53" s="292" t="s">
        <v>238</v>
      </c>
      <c r="E53" s="293"/>
      <c r="F53" s="294"/>
      <c r="G53" s="288" t="s">
        <v>348</v>
      </c>
      <c r="H53" s="289">
        <v>4</v>
      </c>
      <c r="I53" s="363">
        <v>3.5</v>
      </c>
      <c r="J53" s="309">
        <f t="shared" si="17"/>
        <v>100</v>
      </c>
      <c r="K53" s="371">
        <f t="shared" si="13"/>
        <v>4</v>
      </c>
      <c r="L53" s="290">
        <f t="shared" si="18"/>
        <v>0</v>
      </c>
      <c r="M53" s="290">
        <f t="shared" si="19"/>
        <v>0</v>
      </c>
      <c r="N53" s="308">
        <f t="shared" si="20"/>
        <v>0</v>
      </c>
      <c r="O53" s="381">
        <f t="shared" si="14"/>
        <v>0</v>
      </c>
      <c r="P53" s="351">
        <f t="shared" si="21"/>
        <v>0.1</v>
      </c>
      <c r="Q53" s="290">
        <f t="shared" si="8"/>
        <v>0.4</v>
      </c>
      <c r="R53" s="290">
        <f t="shared" si="22"/>
        <v>0.25</v>
      </c>
      <c r="S53" s="290">
        <f t="shared" si="9"/>
        <v>1</v>
      </c>
      <c r="T53" s="290">
        <f t="shared" si="23"/>
        <v>0.5</v>
      </c>
      <c r="U53" s="290">
        <f t="shared" si="10"/>
        <v>2</v>
      </c>
      <c r="V53" s="290">
        <f t="shared" si="24"/>
        <v>0.15</v>
      </c>
      <c r="W53" s="308">
        <f t="shared" si="11"/>
        <v>0.6</v>
      </c>
      <c r="X53" s="312">
        <v>35</v>
      </c>
      <c r="Y53" s="290" t="s">
        <v>358</v>
      </c>
      <c r="Z53" s="297">
        <f t="shared" si="16"/>
        <v>100</v>
      </c>
      <c r="AC53" s="241"/>
      <c r="AD53" s="401">
        <f>[51]Aspal!$BN$38</f>
        <v>4000</v>
      </c>
      <c r="AE53" s="401"/>
      <c r="AF53" s="401"/>
      <c r="AG53" s="401"/>
      <c r="AH53" s="401">
        <f>[51]Aspal!$BH$35</f>
        <v>400</v>
      </c>
      <c r="AI53" s="401">
        <f>[51]Aspal!$BI$35</f>
        <v>1000</v>
      </c>
      <c r="AJ53" s="401">
        <f>[51]Aspal!$BJ$35</f>
        <v>2000</v>
      </c>
      <c r="AK53" s="401">
        <f>[51]Aspal!$BK$35</f>
        <v>600</v>
      </c>
    </row>
    <row r="54" spans="1:37" ht="20.100000000000001" customHeight="1" x14ac:dyDescent="0.2">
      <c r="A54" s="104"/>
      <c r="B54" s="298" t="s">
        <v>312</v>
      </c>
      <c r="C54" s="287">
        <v>43</v>
      </c>
      <c r="D54" s="292" t="s">
        <v>239</v>
      </c>
      <c r="E54" s="293"/>
      <c r="F54" s="294"/>
      <c r="G54" s="288" t="s">
        <v>348</v>
      </c>
      <c r="H54" s="289">
        <v>9</v>
      </c>
      <c r="I54" s="363">
        <v>3.5</v>
      </c>
      <c r="J54" s="309">
        <f t="shared" si="17"/>
        <v>100</v>
      </c>
      <c r="K54" s="371">
        <f t="shared" si="13"/>
        <v>9</v>
      </c>
      <c r="L54" s="290">
        <f t="shared" si="18"/>
        <v>0</v>
      </c>
      <c r="M54" s="290">
        <f t="shared" si="19"/>
        <v>0</v>
      </c>
      <c r="N54" s="308">
        <f t="shared" si="20"/>
        <v>0</v>
      </c>
      <c r="O54" s="381">
        <f t="shared" si="14"/>
        <v>0</v>
      </c>
      <c r="P54" s="351">
        <f t="shared" si="21"/>
        <v>1</v>
      </c>
      <c r="Q54" s="290">
        <f t="shared" si="8"/>
        <v>9</v>
      </c>
      <c r="R54" s="290">
        <f t="shared" si="22"/>
        <v>0</v>
      </c>
      <c r="S54" s="290">
        <f t="shared" si="9"/>
        <v>0</v>
      </c>
      <c r="T54" s="290">
        <f t="shared" si="23"/>
        <v>0</v>
      </c>
      <c r="U54" s="290">
        <f t="shared" si="10"/>
        <v>0</v>
      </c>
      <c r="V54" s="290">
        <f t="shared" si="24"/>
        <v>0</v>
      </c>
      <c r="W54" s="308">
        <f t="shared" si="11"/>
        <v>0</v>
      </c>
      <c r="X54" s="312">
        <v>65</v>
      </c>
      <c r="Y54" s="290" t="s">
        <v>358</v>
      </c>
      <c r="Z54" s="297">
        <f t="shared" si="16"/>
        <v>100</v>
      </c>
      <c r="AC54" s="241"/>
      <c r="AD54" s="401">
        <f>[52]Aspal!$BN$63</f>
        <v>9000</v>
      </c>
      <c r="AE54" s="401"/>
      <c r="AF54" s="401"/>
      <c r="AG54" s="401"/>
      <c r="AH54" s="401">
        <f>[52]Aspal!$BH$60</f>
        <v>9000</v>
      </c>
      <c r="AI54" s="401">
        <f>[52]Aspal!$BI$60</f>
        <v>0</v>
      </c>
      <c r="AJ54" s="401">
        <f>[52]Aspal!$BJ$60</f>
        <v>0</v>
      </c>
      <c r="AK54" s="401">
        <f>[52]Aspal!$BK$60</f>
        <v>0</v>
      </c>
    </row>
    <row r="55" spans="1:37" ht="20.100000000000001" customHeight="1" x14ac:dyDescent="0.2">
      <c r="A55" s="104"/>
      <c r="B55" s="298" t="s">
        <v>313</v>
      </c>
      <c r="C55" s="287">
        <v>44</v>
      </c>
      <c r="D55" s="292" t="s">
        <v>240</v>
      </c>
      <c r="E55" s="293"/>
      <c r="F55" s="294"/>
      <c r="G55" s="288" t="s">
        <v>348</v>
      </c>
      <c r="H55" s="289">
        <v>5</v>
      </c>
      <c r="I55" s="363">
        <v>3.5</v>
      </c>
      <c r="J55" s="309">
        <f t="shared" si="17"/>
        <v>40</v>
      </c>
      <c r="K55" s="371">
        <f t="shared" si="13"/>
        <v>2</v>
      </c>
      <c r="L55" s="290">
        <f t="shared" si="18"/>
        <v>0</v>
      </c>
      <c r="M55" s="290">
        <f t="shared" si="19"/>
        <v>0</v>
      </c>
      <c r="N55" s="308">
        <f t="shared" si="20"/>
        <v>60</v>
      </c>
      <c r="O55" s="381">
        <f t="shared" si="14"/>
        <v>3</v>
      </c>
      <c r="P55" s="351">
        <f t="shared" si="21"/>
        <v>0.16</v>
      </c>
      <c r="Q55" s="290">
        <f t="shared" si="8"/>
        <v>0.8</v>
      </c>
      <c r="R55" s="290">
        <f t="shared" si="22"/>
        <v>0.24</v>
      </c>
      <c r="S55" s="290">
        <f t="shared" si="9"/>
        <v>1.2</v>
      </c>
      <c r="T55" s="290">
        <f t="shared" si="23"/>
        <v>0</v>
      </c>
      <c r="U55" s="290">
        <f t="shared" si="10"/>
        <v>0</v>
      </c>
      <c r="V55" s="290">
        <f t="shared" si="24"/>
        <v>0.6</v>
      </c>
      <c r="W55" s="308">
        <f t="shared" si="11"/>
        <v>3</v>
      </c>
      <c r="X55" s="312">
        <v>30</v>
      </c>
      <c r="Y55" s="290" t="s">
        <v>169</v>
      </c>
      <c r="Z55" s="297">
        <f t="shared" si="16"/>
        <v>100</v>
      </c>
      <c r="AC55" s="241"/>
      <c r="AD55" s="401">
        <f>[53]Aspal!$BN$28</f>
        <v>2000</v>
      </c>
      <c r="AE55" s="401"/>
      <c r="AF55" s="401"/>
      <c r="AG55" s="401">
        <f>'[53]Non Aspal'!$BU$30</f>
        <v>3000</v>
      </c>
      <c r="AH55" s="401">
        <f>[53]Aspal!$BH$25</f>
        <v>800</v>
      </c>
      <c r="AI55" s="401">
        <f>[53]Aspal!$BI$25</f>
        <v>1200</v>
      </c>
      <c r="AJ55" s="401">
        <f>[53]Aspal!$BJ$25</f>
        <v>0</v>
      </c>
      <c r="AK55" s="401">
        <f>[53]Aspal!$BK$25+'[53]Non Aspal'!$BU$30</f>
        <v>3000</v>
      </c>
    </row>
    <row r="56" spans="1:37" ht="20.100000000000001" customHeight="1" x14ac:dyDescent="0.2">
      <c r="A56" s="104"/>
      <c r="B56" s="298" t="s">
        <v>314</v>
      </c>
      <c r="C56" s="287">
        <v>45</v>
      </c>
      <c r="D56" s="292" t="s">
        <v>241</v>
      </c>
      <c r="E56" s="293"/>
      <c r="F56" s="294"/>
      <c r="G56" s="288" t="s">
        <v>348</v>
      </c>
      <c r="H56" s="289">
        <v>2</v>
      </c>
      <c r="I56" s="363">
        <v>3.5</v>
      </c>
      <c r="J56" s="309">
        <f t="shared" si="17"/>
        <v>100</v>
      </c>
      <c r="K56" s="371">
        <f t="shared" si="13"/>
        <v>2</v>
      </c>
      <c r="L56" s="290">
        <f t="shared" si="18"/>
        <v>0</v>
      </c>
      <c r="M56" s="290">
        <f t="shared" si="19"/>
        <v>0</v>
      </c>
      <c r="N56" s="308">
        <f t="shared" si="20"/>
        <v>0</v>
      </c>
      <c r="O56" s="381">
        <f t="shared" si="14"/>
        <v>0</v>
      </c>
      <c r="P56" s="351">
        <f t="shared" si="21"/>
        <v>0.3</v>
      </c>
      <c r="Q56" s="290">
        <f t="shared" si="8"/>
        <v>0.6</v>
      </c>
      <c r="R56" s="290">
        <f t="shared" si="22"/>
        <v>0.2</v>
      </c>
      <c r="S56" s="290">
        <f t="shared" si="9"/>
        <v>0.4</v>
      </c>
      <c r="T56" s="290">
        <f t="shared" si="23"/>
        <v>0.5</v>
      </c>
      <c r="U56" s="290">
        <f t="shared" si="10"/>
        <v>1</v>
      </c>
      <c r="V56" s="290">
        <f t="shared" si="24"/>
        <v>0</v>
      </c>
      <c r="W56" s="308">
        <f t="shared" si="11"/>
        <v>0</v>
      </c>
      <c r="X56" s="312">
        <v>20</v>
      </c>
      <c r="Y56" s="290" t="s">
        <v>169</v>
      </c>
      <c r="Z56" s="297">
        <f t="shared" si="16"/>
        <v>100</v>
      </c>
      <c r="AC56" s="241"/>
      <c r="AD56" s="401">
        <f>[54]Aspal!$BN$28</f>
        <v>2000</v>
      </c>
      <c r="AE56" s="401"/>
      <c r="AF56" s="401"/>
      <c r="AG56" s="401"/>
      <c r="AH56" s="401">
        <f>[54]Aspal!$BH$25</f>
        <v>600</v>
      </c>
      <c r="AI56" s="401">
        <f>[54]Aspal!$BI$25</f>
        <v>400</v>
      </c>
      <c r="AJ56" s="401">
        <f>[54]Aspal!$BJ$25</f>
        <v>1000</v>
      </c>
      <c r="AK56" s="401">
        <f>[54]Aspal!$BK$25</f>
        <v>0</v>
      </c>
    </row>
    <row r="57" spans="1:37" ht="20.100000000000001" customHeight="1" x14ac:dyDescent="0.2">
      <c r="A57" s="104"/>
      <c r="B57" s="298" t="s">
        <v>315</v>
      </c>
      <c r="C57" s="287">
        <v>46</v>
      </c>
      <c r="D57" s="292" t="s">
        <v>242</v>
      </c>
      <c r="E57" s="293"/>
      <c r="F57" s="294"/>
      <c r="G57" s="288" t="s">
        <v>349</v>
      </c>
      <c r="H57" s="289">
        <v>4</v>
      </c>
      <c r="I57" s="363">
        <v>4</v>
      </c>
      <c r="J57" s="309">
        <f t="shared" si="17"/>
        <v>100</v>
      </c>
      <c r="K57" s="371">
        <f t="shared" si="13"/>
        <v>4</v>
      </c>
      <c r="L57" s="290">
        <f t="shared" si="18"/>
        <v>0</v>
      </c>
      <c r="M57" s="290">
        <f t="shared" si="19"/>
        <v>0</v>
      </c>
      <c r="N57" s="308">
        <f t="shared" si="20"/>
        <v>0</v>
      </c>
      <c r="O57" s="381">
        <f t="shared" si="14"/>
        <v>0</v>
      </c>
      <c r="P57" s="351">
        <f t="shared" si="21"/>
        <v>0.95</v>
      </c>
      <c r="Q57" s="290">
        <f t="shared" si="8"/>
        <v>3.8</v>
      </c>
      <c r="R57" s="290">
        <f t="shared" si="22"/>
        <v>0</v>
      </c>
      <c r="S57" s="290">
        <f t="shared" si="9"/>
        <v>0</v>
      </c>
      <c r="T57" s="290">
        <f t="shared" si="23"/>
        <v>0.05</v>
      </c>
      <c r="U57" s="290">
        <f t="shared" si="10"/>
        <v>0.2</v>
      </c>
      <c r="V57" s="290">
        <f t="shared" si="24"/>
        <v>0</v>
      </c>
      <c r="W57" s="308">
        <f t="shared" si="11"/>
        <v>0</v>
      </c>
      <c r="X57" s="312">
        <v>110</v>
      </c>
      <c r="Y57" s="290" t="s">
        <v>358</v>
      </c>
      <c r="Z57" s="297">
        <f t="shared" si="16"/>
        <v>100</v>
      </c>
      <c r="AC57" s="241"/>
      <c r="AD57" s="401">
        <f>[55]Aspal!$BN$38</f>
        <v>4000</v>
      </c>
      <c r="AE57" s="401"/>
      <c r="AF57" s="401"/>
      <c r="AG57" s="401"/>
      <c r="AH57" s="401">
        <f>[55]Aspal!$BH$35</f>
        <v>3800</v>
      </c>
      <c r="AI57" s="401">
        <f>[55]Aspal!$BI$35</f>
        <v>0</v>
      </c>
      <c r="AJ57" s="401">
        <f>[55]Aspal!$BJ$35</f>
        <v>200</v>
      </c>
      <c r="AK57" s="401">
        <f>[55]Aspal!$BK$35</f>
        <v>0</v>
      </c>
    </row>
    <row r="58" spans="1:37" ht="20.100000000000001" customHeight="1" x14ac:dyDescent="0.2">
      <c r="A58" s="104"/>
      <c r="B58" s="298" t="s">
        <v>316</v>
      </c>
      <c r="C58" s="287">
        <v>47</v>
      </c>
      <c r="D58" s="292" t="s">
        <v>243</v>
      </c>
      <c r="E58" s="293"/>
      <c r="F58" s="294"/>
      <c r="G58" s="288" t="s">
        <v>348</v>
      </c>
      <c r="H58" s="289">
        <v>8</v>
      </c>
      <c r="I58" s="363">
        <v>3.5</v>
      </c>
      <c r="J58" s="309">
        <f t="shared" si="17"/>
        <v>100</v>
      </c>
      <c r="K58" s="371">
        <f t="shared" si="13"/>
        <v>8</v>
      </c>
      <c r="L58" s="290">
        <f t="shared" si="18"/>
        <v>0</v>
      </c>
      <c r="M58" s="290">
        <f t="shared" si="19"/>
        <v>0</v>
      </c>
      <c r="N58" s="308">
        <f t="shared" si="20"/>
        <v>0</v>
      </c>
      <c r="O58" s="381">
        <f t="shared" si="14"/>
        <v>0</v>
      </c>
      <c r="P58" s="351">
        <f t="shared" si="21"/>
        <v>0.57499999999999996</v>
      </c>
      <c r="Q58" s="290">
        <f t="shared" si="8"/>
        <v>4.5999999999999996</v>
      </c>
      <c r="R58" s="290">
        <f t="shared" si="22"/>
        <v>0</v>
      </c>
      <c r="S58" s="290">
        <f t="shared" si="9"/>
        <v>0</v>
      </c>
      <c r="T58" s="290">
        <f t="shared" si="23"/>
        <v>0</v>
      </c>
      <c r="U58" s="290">
        <f t="shared" si="10"/>
        <v>0</v>
      </c>
      <c r="V58" s="290">
        <f t="shared" si="24"/>
        <v>0.42499999999999999</v>
      </c>
      <c r="W58" s="308">
        <f t="shared" si="11"/>
        <v>3.4</v>
      </c>
      <c r="X58" s="312">
        <v>60</v>
      </c>
      <c r="Y58" s="290" t="s">
        <v>358</v>
      </c>
      <c r="Z58" s="297">
        <f t="shared" si="16"/>
        <v>100</v>
      </c>
      <c r="AC58" s="241"/>
      <c r="AD58" s="401">
        <f>[56]Aspal!$BN$58</f>
        <v>8000</v>
      </c>
      <c r="AE58" s="401"/>
      <c r="AF58" s="401"/>
      <c r="AG58" s="401"/>
      <c r="AH58" s="401">
        <f>[56]Aspal!$BH$55</f>
        <v>4600</v>
      </c>
      <c r="AI58" s="401">
        <f>[56]Aspal!$BI$55</f>
        <v>0</v>
      </c>
      <c r="AJ58" s="401">
        <f>[56]Aspal!$BJ$55</f>
        <v>0</v>
      </c>
      <c r="AK58" s="401">
        <f>[56]Aspal!$BK$55</f>
        <v>3400</v>
      </c>
    </row>
    <row r="59" spans="1:37" ht="20.100000000000001" customHeight="1" x14ac:dyDescent="0.2">
      <c r="A59" s="104"/>
      <c r="B59" s="298" t="s">
        <v>317</v>
      </c>
      <c r="C59" s="287">
        <v>48</v>
      </c>
      <c r="D59" s="292" t="s">
        <v>244</v>
      </c>
      <c r="E59" s="293"/>
      <c r="F59" s="294"/>
      <c r="G59" s="288" t="s">
        <v>349</v>
      </c>
      <c r="H59" s="289">
        <v>3</v>
      </c>
      <c r="I59" s="363">
        <v>4</v>
      </c>
      <c r="J59" s="309">
        <f t="shared" si="17"/>
        <v>100</v>
      </c>
      <c r="K59" s="371">
        <f t="shared" si="13"/>
        <v>3</v>
      </c>
      <c r="L59" s="290">
        <f t="shared" si="18"/>
        <v>0</v>
      </c>
      <c r="M59" s="290">
        <f t="shared" si="19"/>
        <v>0</v>
      </c>
      <c r="N59" s="308">
        <f t="shared" si="20"/>
        <v>0</v>
      </c>
      <c r="O59" s="381">
        <f t="shared" si="14"/>
        <v>0</v>
      </c>
      <c r="P59" s="351">
        <f t="shared" si="21"/>
        <v>1</v>
      </c>
      <c r="Q59" s="290">
        <f t="shared" si="8"/>
        <v>3</v>
      </c>
      <c r="R59" s="290">
        <f t="shared" si="22"/>
        <v>0</v>
      </c>
      <c r="S59" s="290">
        <f t="shared" si="9"/>
        <v>0</v>
      </c>
      <c r="T59" s="290">
        <f t="shared" si="23"/>
        <v>0</v>
      </c>
      <c r="U59" s="290">
        <f t="shared" si="10"/>
        <v>0</v>
      </c>
      <c r="V59" s="290">
        <f t="shared" si="24"/>
        <v>0</v>
      </c>
      <c r="W59" s="308">
        <f t="shared" si="11"/>
        <v>0</v>
      </c>
      <c r="X59" s="312">
        <v>75</v>
      </c>
      <c r="Y59" s="290" t="s">
        <v>169</v>
      </c>
      <c r="Z59" s="297">
        <f t="shared" si="16"/>
        <v>100</v>
      </c>
      <c r="AC59" s="241"/>
      <c r="AD59" s="401">
        <f>[57]Aspal!$BN$33</f>
        <v>3000</v>
      </c>
      <c r="AE59" s="401"/>
      <c r="AF59" s="401"/>
      <c r="AG59" s="401"/>
      <c r="AH59" s="401">
        <f>[57]Aspal!$BH$30</f>
        <v>3000</v>
      </c>
      <c r="AI59" s="401">
        <f>[57]Aspal!$BI$30</f>
        <v>0</v>
      </c>
      <c r="AJ59" s="401">
        <f>[57]Aspal!$BJ$30</f>
        <v>0</v>
      </c>
      <c r="AK59" s="401">
        <f>[57]Aspal!$BK$30</f>
        <v>0</v>
      </c>
    </row>
    <row r="60" spans="1:37" ht="20.100000000000001" customHeight="1" x14ac:dyDescent="0.2">
      <c r="A60" s="104"/>
      <c r="B60" s="298" t="s">
        <v>318</v>
      </c>
      <c r="C60" s="287">
        <v>49</v>
      </c>
      <c r="D60" s="292" t="s">
        <v>245</v>
      </c>
      <c r="E60" s="293"/>
      <c r="F60" s="294"/>
      <c r="G60" s="288" t="s">
        <v>348</v>
      </c>
      <c r="H60" s="289">
        <v>6</v>
      </c>
      <c r="I60" s="363">
        <v>4</v>
      </c>
      <c r="J60" s="309">
        <f t="shared" si="17"/>
        <v>100</v>
      </c>
      <c r="K60" s="371">
        <f t="shared" si="13"/>
        <v>6</v>
      </c>
      <c r="L60" s="290">
        <f t="shared" si="18"/>
        <v>0</v>
      </c>
      <c r="M60" s="290">
        <f t="shared" si="19"/>
        <v>0</v>
      </c>
      <c r="N60" s="308">
        <f t="shared" si="20"/>
        <v>0</v>
      </c>
      <c r="O60" s="381">
        <f t="shared" si="14"/>
        <v>0</v>
      </c>
      <c r="P60" s="351">
        <f t="shared" si="21"/>
        <v>1</v>
      </c>
      <c r="Q60" s="290">
        <f t="shared" si="8"/>
        <v>6</v>
      </c>
      <c r="R60" s="290">
        <f t="shared" si="22"/>
        <v>0</v>
      </c>
      <c r="S60" s="290">
        <f t="shared" si="9"/>
        <v>0</v>
      </c>
      <c r="T60" s="290">
        <f t="shared" si="23"/>
        <v>0</v>
      </c>
      <c r="U60" s="290">
        <f t="shared" si="10"/>
        <v>0</v>
      </c>
      <c r="V60" s="290">
        <f t="shared" si="24"/>
        <v>0</v>
      </c>
      <c r="W60" s="308">
        <f t="shared" si="11"/>
        <v>0</v>
      </c>
      <c r="X60" s="312">
        <v>100</v>
      </c>
      <c r="Y60" s="290" t="s">
        <v>169</v>
      </c>
      <c r="Z60" s="297">
        <f t="shared" si="16"/>
        <v>100</v>
      </c>
      <c r="AC60" s="241"/>
      <c r="AD60" s="401">
        <f>[58]Aspal!$BN$48</f>
        <v>6000</v>
      </c>
      <c r="AE60" s="401"/>
      <c r="AF60" s="401"/>
      <c r="AG60" s="401"/>
      <c r="AH60" s="401">
        <f>[58]Aspal!$BH$45</f>
        <v>6000</v>
      </c>
      <c r="AI60" s="401">
        <f>[58]Aspal!$BI$45</f>
        <v>0</v>
      </c>
      <c r="AJ60" s="401">
        <f>[58]Aspal!$BJ$45</f>
        <v>0</v>
      </c>
      <c r="AK60" s="401">
        <f>[58]Aspal!$BK$45</f>
        <v>0</v>
      </c>
    </row>
    <row r="61" spans="1:37" ht="20.100000000000001" customHeight="1" x14ac:dyDescent="0.2">
      <c r="A61" s="104"/>
      <c r="B61" s="298" t="s">
        <v>319</v>
      </c>
      <c r="C61" s="287">
        <v>50</v>
      </c>
      <c r="D61" s="292" t="s">
        <v>246</v>
      </c>
      <c r="E61" s="293"/>
      <c r="F61" s="294"/>
      <c r="G61" s="288" t="s">
        <v>350</v>
      </c>
      <c r="H61" s="289">
        <v>6.93</v>
      </c>
      <c r="I61" s="363">
        <v>3.5</v>
      </c>
      <c r="J61" s="309">
        <f t="shared" si="17"/>
        <v>100</v>
      </c>
      <c r="K61" s="371">
        <f t="shared" si="13"/>
        <v>6.93</v>
      </c>
      <c r="L61" s="290">
        <f t="shared" si="18"/>
        <v>0</v>
      </c>
      <c r="M61" s="290">
        <f t="shared" si="19"/>
        <v>0</v>
      </c>
      <c r="N61" s="308">
        <f t="shared" si="20"/>
        <v>0</v>
      </c>
      <c r="O61" s="381">
        <f t="shared" si="14"/>
        <v>0</v>
      </c>
      <c r="P61" s="351">
        <f t="shared" si="21"/>
        <v>1</v>
      </c>
      <c r="Q61" s="290">
        <f t="shared" si="8"/>
        <v>6.93</v>
      </c>
      <c r="R61" s="290">
        <f t="shared" si="22"/>
        <v>0</v>
      </c>
      <c r="S61" s="290">
        <f t="shared" si="9"/>
        <v>0</v>
      </c>
      <c r="T61" s="290">
        <f t="shared" si="23"/>
        <v>0</v>
      </c>
      <c r="U61" s="290">
        <f t="shared" si="10"/>
        <v>0</v>
      </c>
      <c r="V61" s="290">
        <f t="shared" si="24"/>
        <v>0</v>
      </c>
      <c r="W61" s="308">
        <f t="shared" si="11"/>
        <v>0</v>
      </c>
      <c r="X61" s="312">
        <v>70</v>
      </c>
      <c r="Y61" s="290" t="s">
        <v>358</v>
      </c>
      <c r="Z61" s="297">
        <f t="shared" si="16"/>
        <v>100</v>
      </c>
      <c r="AC61" s="241"/>
      <c r="AD61" s="401">
        <f>[59]Aspal!$BN$53</f>
        <v>6930</v>
      </c>
      <c r="AE61" s="401"/>
      <c r="AF61" s="401"/>
      <c r="AG61" s="401"/>
      <c r="AH61" s="401">
        <f>[59]Aspal!$BH$50</f>
        <v>6930</v>
      </c>
      <c r="AI61" s="401">
        <f>[59]Aspal!$BI$50</f>
        <v>0</v>
      </c>
      <c r="AJ61" s="401">
        <f>[59]Aspal!$BJ$50</f>
        <v>0</v>
      </c>
      <c r="AK61" s="401">
        <f>[59]Aspal!$BK$50</f>
        <v>0</v>
      </c>
    </row>
    <row r="62" spans="1:37" ht="20.100000000000001" customHeight="1" x14ac:dyDescent="0.2">
      <c r="A62" s="104"/>
      <c r="B62" s="298" t="s">
        <v>320</v>
      </c>
      <c r="C62" s="287">
        <v>51</v>
      </c>
      <c r="D62" s="292" t="s">
        <v>247</v>
      </c>
      <c r="E62" s="293"/>
      <c r="F62" s="294"/>
      <c r="G62" s="288" t="s">
        <v>350</v>
      </c>
      <c r="H62" s="289">
        <v>7</v>
      </c>
      <c r="I62" s="363">
        <v>3.5</v>
      </c>
      <c r="J62" s="309">
        <f t="shared" si="17"/>
        <v>100</v>
      </c>
      <c r="K62" s="371">
        <f t="shared" si="13"/>
        <v>7</v>
      </c>
      <c r="L62" s="290">
        <f t="shared" si="18"/>
        <v>0</v>
      </c>
      <c r="M62" s="290">
        <f t="shared" si="19"/>
        <v>0</v>
      </c>
      <c r="N62" s="308">
        <f t="shared" si="20"/>
        <v>0</v>
      </c>
      <c r="O62" s="381">
        <f t="shared" si="14"/>
        <v>0</v>
      </c>
      <c r="P62" s="351">
        <f t="shared" si="21"/>
        <v>0.37142857142857144</v>
      </c>
      <c r="Q62" s="290">
        <f t="shared" si="8"/>
        <v>2.6</v>
      </c>
      <c r="R62" s="290">
        <f t="shared" si="22"/>
        <v>0.19999999999999998</v>
      </c>
      <c r="S62" s="290">
        <f t="shared" si="9"/>
        <v>1.4</v>
      </c>
      <c r="T62" s="290">
        <f t="shared" si="23"/>
        <v>0</v>
      </c>
      <c r="U62" s="290">
        <f t="shared" si="10"/>
        <v>0</v>
      </c>
      <c r="V62" s="290">
        <f t="shared" si="24"/>
        <v>0.42857142857142855</v>
      </c>
      <c r="W62" s="308">
        <f t="shared" si="11"/>
        <v>3</v>
      </c>
      <c r="X62" s="312">
        <v>45</v>
      </c>
      <c r="Y62" s="290" t="s">
        <v>358</v>
      </c>
      <c r="Z62" s="297">
        <f t="shared" si="16"/>
        <v>100</v>
      </c>
      <c r="AC62" s="241"/>
      <c r="AD62" s="401">
        <f>[60]Aspal!$BN$53</f>
        <v>7000</v>
      </c>
      <c r="AE62" s="401"/>
      <c r="AF62" s="401"/>
      <c r="AG62" s="401"/>
      <c r="AH62" s="401">
        <f>[60]Aspal!$BH$50</f>
        <v>2600</v>
      </c>
      <c r="AI62" s="401">
        <f>[60]Aspal!$BI$50</f>
        <v>1400</v>
      </c>
      <c r="AJ62" s="401">
        <f>[60]Aspal!$BJ$50</f>
        <v>0</v>
      </c>
      <c r="AK62" s="401">
        <f>[60]Aspal!$BK$50</f>
        <v>3000</v>
      </c>
    </row>
    <row r="63" spans="1:37" ht="20.100000000000001" customHeight="1" x14ac:dyDescent="0.2">
      <c r="A63" s="104"/>
      <c r="B63" s="298" t="s">
        <v>321</v>
      </c>
      <c r="C63" s="287">
        <v>52</v>
      </c>
      <c r="D63" s="292" t="s">
        <v>248</v>
      </c>
      <c r="E63" s="293"/>
      <c r="F63" s="294"/>
      <c r="G63" s="288" t="s">
        <v>347</v>
      </c>
      <c r="H63" s="289">
        <v>5</v>
      </c>
      <c r="I63" s="363">
        <v>3.5</v>
      </c>
      <c r="J63" s="309">
        <f t="shared" si="17"/>
        <v>100</v>
      </c>
      <c r="K63" s="371">
        <f t="shared" si="13"/>
        <v>5</v>
      </c>
      <c r="L63" s="290">
        <f t="shared" si="18"/>
        <v>0</v>
      </c>
      <c r="M63" s="290">
        <f t="shared" si="19"/>
        <v>0</v>
      </c>
      <c r="N63" s="308">
        <f t="shared" si="20"/>
        <v>0</v>
      </c>
      <c r="O63" s="381">
        <f t="shared" si="14"/>
        <v>0</v>
      </c>
      <c r="P63" s="351">
        <f t="shared" si="21"/>
        <v>0.27999999999999997</v>
      </c>
      <c r="Q63" s="290">
        <f t="shared" si="8"/>
        <v>1.4</v>
      </c>
      <c r="R63" s="290">
        <f t="shared" si="22"/>
        <v>0.08</v>
      </c>
      <c r="S63" s="290">
        <f t="shared" si="9"/>
        <v>0.4</v>
      </c>
      <c r="T63" s="290">
        <f t="shared" si="23"/>
        <v>0.48</v>
      </c>
      <c r="U63" s="290">
        <f t="shared" si="10"/>
        <v>2.4</v>
      </c>
      <c r="V63" s="290">
        <f t="shared" si="24"/>
        <v>0.16</v>
      </c>
      <c r="W63" s="308">
        <f t="shared" si="11"/>
        <v>0.8</v>
      </c>
      <c r="X63" s="312">
        <v>45</v>
      </c>
      <c r="Y63" s="290" t="s">
        <v>169</v>
      </c>
      <c r="Z63" s="297">
        <f t="shared" si="16"/>
        <v>100</v>
      </c>
      <c r="AB63" s="114"/>
      <c r="AC63" s="241"/>
      <c r="AD63" s="401">
        <f>[61]Aspal!$BN$53</f>
        <v>5000</v>
      </c>
      <c r="AE63" s="401"/>
      <c r="AF63" s="401"/>
      <c r="AG63" s="401"/>
      <c r="AH63" s="401">
        <f>[61]Aspal!$BH$50</f>
        <v>1400</v>
      </c>
      <c r="AI63" s="401">
        <f>[61]Aspal!$BI$50</f>
        <v>400</v>
      </c>
      <c r="AJ63" s="401">
        <f>[61]Aspal!$BJ$50</f>
        <v>2400</v>
      </c>
      <c r="AK63" s="401">
        <f>[61]Aspal!$BK$50</f>
        <v>800</v>
      </c>
    </row>
    <row r="64" spans="1:37" ht="20.100000000000001" customHeight="1" x14ac:dyDescent="0.2">
      <c r="A64" s="104"/>
      <c r="B64" s="298" t="s">
        <v>322</v>
      </c>
      <c r="C64" s="287">
        <v>53</v>
      </c>
      <c r="D64" s="292" t="s">
        <v>249</v>
      </c>
      <c r="E64" s="293"/>
      <c r="F64" s="294"/>
      <c r="G64" s="288" t="s">
        <v>347</v>
      </c>
      <c r="H64" s="289">
        <v>7</v>
      </c>
      <c r="I64" s="363">
        <v>3.5</v>
      </c>
      <c r="J64" s="309">
        <f t="shared" si="17"/>
        <v>100</v>
      </c>
      <c r="K64" s="371">
        <f t="shared" si="13"/>
        <v>7</v>
      </c>
      <c r="L64" s="290">
        <f t="shared" si="18"/>
        <v>0</v>
      </c>
      <c r="M64" s="290">
        <f t="shared" si="19"/>
        <v>0</v>
      </c>
      <c r="N64" s="308">
        <f t="shared" si="20"/>
        <v>0</v>
      </c>
      <c r="O64" s="381">
        <f t="shared" si="14"/>
        <v>0</v>
      </c>
      <c r="P64" s="351">
        <f t="shared" si="21"/>
        <v>0.45714285714285718</v>
      </c>
      <c r="Q64" s="290">
        <f t="shared" si="8"/>
        <v>3.2</v>
      </c>
      <c r="R64" s="290">
        <f t="shared" si="22"/>
        <v>0.14285714285714285</v>
      </c>
      <c r="S64" s="290">
        <f t="shared" si="9"/>
        <v>1</v>
      </c>
      <c r="T64" s="290">
        <f t="shared" si="23"/>
        <v>0.2857142857142857</v>
      </c>
      <c r="U64" s="290">
        <f t="shared" si="10"/>
        <v>2</v>
      </c>
      <c r="V64" s="290">
        <f t="shared" si="24"/>
        <v>0.1142857142857143</v>
      </c>
      <c r="W64" s="308">
        <f t="shared" si="11"/>
        <v>0.8</v>
      </c>
      <c r="X64" s="312">
        <v>30</v>
      </c>
      <c r="Y64" s="290" t="s">
        <v>169</v>
      </c>
      <c r="Z64" s="297">
        <f t="shared" si="16"/>
        <v>100</v>
      </c>
      <c r="AC64" s="241"/>
      <c r="AD64" s="401">
        <f>[62]Aspal!$BN$53</f>
        <v>7000</v>
      </c>
      <c r="AE64" s="401"/>
      <c r="AF64" s="401"/>
      <c r="AG64" s="401"/>
      <c r="AH64" s="401">
        <f>[62]Aspal!$BH$50</f>
        <v>3200</v>
      </c>
      <c r="AI64" s="401">
        <f>[62]Aspal!$BI$50</f>
        <v>1000</v>
      </c>
      <c r="AJ64" s="401">
        <f>[62]Aspal!$BJ$50</f>
        <v>2000</v>
      </c>
      <c r="AK64" s="401">
        <f>[62]Aspal!$BK$50</f>
        <v>800</v>
      </c>
    </row>
    <row r="65" spans="1:38" ht="20.100000000000001" customHeight="1" x14ac:dyDescent="0.2">
      <c r="A65" s="104"/>
      <c r="B65" s="298" t="s">
        <v>323</v>
      </c>
      <c r="C65" s="287">
        <v>54</v>
      </c>
      <c r="D65" s="292" t="s">
        <v>250</v>
      </c>
      <c r="E65" s="293"/>
      <c r="F65" s="294"/>
      <c r="G65" s="288" t="s">
        <v>350</v>
      </c>
      <c r="H65" s="289">
        <v>3</v>
      </c>
      <c r="I65" s="363">
        <v>3.5</v>
      </c>
      <c r="J65" s="309">
        <f t="shared" si="17"/>
        <v>100</v>
      </c>
      <c r="K65" s="371">
        <f t="shared" si="13"/>
        <v>3</v>
      </c>
      <c r="L65" s="290">
        <f t="shared" si="18"/>
        <v>0</v>
      </c>
      <c r="M65" s="290">
        <f t="shared" si="19"/>
        <v>0</v>
      </c>
      <c r="N65" s="308">
        <f t="shared" si="20"/>
        <v>0</v>
      </c>
      <c r="O65" s="381">
        <f t="shared" si="14"/>
        <v>0</v>
      </c>
      <c r="P65" s="351">
        <f t="shared" si="21"/>
        <v>0</v>
      </c>
      <c r="Q65" s="290">
        <f t="shared" si="8"/>
        <v>0</v>
      </c>
      <c r="R65" s="290">
        <f t="shared" si="22"/>
        <v>0</v>
      </c>
      <c r="S65" s="290">
        <f t="shared" si="9"/>
        <v>0</v>
      </c>
      <c r="T65" s="290">
        <f t="shared" si="23"/>
        <v>0.26666666666666666</v>
      </c>
      <c r="U65" s="290">
        <f t="shared" si="10"/>
        <v>0.8</v>
      </c>
      <c r="V65" s="290">
        <f t="shared" si="24"/>
        <v>0.73333333333333339</v>
      </c>
      <c r="W65" s="308">
        <f t="shared" si="11"/>
        <v>2.2000000000000002</v>
      </c>
      <c r="X65" s="312">
        <v>225</v>
      </c>
      <c r="Y65" s="290" t="s">
        <v>358</v>
      </c>
      <c r="Z65" s="297">
        <f t="shared" si="16"/>
        <v>100</v>
      </c>
      <c r="AC65" s="241"/>
      <c r="AD65" s="401">
        <f>[63]Aspal!$BN$53</f>
        <v>3000</v>
      </c>
      <c r="AE65" s="401"/>
      <c r="AF65" s="401"/>
      <c r="AG65" s="401"/>
      <c r="AH65" s="401">
        <f>[63]Aspal!$BH$50</f>
        <v>0</v>
      </c>
      <c r="AI65" s="401">
        <f>[63]Aspal!$BI$50</f>
        <v>0</v>
      </c>
      <c r="AJ65" s="401">
        <f>[63]Aspal!$BJ$50</f>
        <v>800</v>
      </c>
      <c r="AK65" s="401">
        <f>[63]Aspal!$BK$50</f>
        <v>2200</v>
      </c>
    </row>
    <row r="66" spans="1:38" ht="20.100000000000001" customHeight="1" x14ac:dyDescent="0.2">
      <c r="A66" s="104"/>
      <c r="B66" s="298" t="s">
        <v>324</v>
      </c>
      <c r="C66" s="287">
        <v>55</v>
      </c>
      <c r="D66" s="292" t="s">
        <v>251</v>
      </c>
      <c r="E66" s="293"/>
      <c r="F66" s="294"/>
      <c r="G66" s="288" t="s">
        <v>351</v>
      </c>
      <c r="H66" s="289">
        <v>3.3</v>
      </c>
      <c r="I66" s="363">
        <v>3.5</v>
      </c>
      <c r="J66" s="309">
        <f t="shared" si="17"/>
        <v>100</v>
      </c>
      <c r="K66" s="371">
        <f t="shared" si="13"/>
        <v>3.3</v>
      </c>
      <c r="L66" s="290">
        <f t="shared" si="18"/>
        <v>0</v>
      </c>
      <c r="M66" s="290">
        <f t="shared" si="19"/>
        <v>0</v>
      </c>
      <c r="N66" s="308">
        <f t="shared" si="20"/>
        <v>0</v>
      </c>
      <c r="O66" s="381">
        <f t="shared" si="14"/>
        <v>0</v>
      </c>
      <c r="P66" s="351">
        <f t="shared" si="21"/>
        <v>0.36363636363636365</v>
      </c>
      <c r="Q66" s="290">
        <f t="shared" si="8"/>
        <v>1.2</v>
      </c>
      <c r="R66" s="290">
        <f t="shared" si="22"/>
        <v>0</v>
      </c>
      <c r="S66" s="290">
        <f t="shared" si="9"/>
        <v>0</v>
      </c>
      <c r="T66" s="290">
        <f t="shared" si="23"/>
        <v>0.27272727272727276</v>
      </c>
      <c r="U66" s="290">
        <f t="shared" si="10"/>
        <v>0.9</v>
      </c>
      <c r="V66" s="290">
        <f t="shared" si="24"/>
        <v>0.36363636363636365</v>
      </c>
      <c r="W66" s="308">
        <f t="shared" si="11"/>
        <v>1.2</v>
      </c>
      <c r="X66" s="312">
        <v>70</v>
      </c>
      <c r="Y66" s="290" t="s">
        <v>358</v>
      </c>
      <c r="Z66" s="297">
        <f t="shared" si="16"/>
        <v>100</v>
      </c>
      <c r="AC66" s="241"/>
      <c r="AD66" s="401">
        <f>[64]Aspal!$BN$53</f>
        <v>3300</v>
      </c>
      <c r="AE66" s="401"/>
      <c r="AF66" s="401"/>
      <c r="AG66" s="401"/>
      <c r="AH66" s="401">
        <f>[64]Aspal!$BH$50</f>
        <v>1200</v>
      </c>
      <c r="AI66" s="401">
        <f>[64]Aspal!$BI$50</f>
        <v>0</v>
      </c>
      <c r="AJ66" s="401">
        <f>[64]Aspal!$BJ$50</f>
        <v>900</v>
      </c>
      <c r="AK66" s="401">
        <f>[64]Aspal!$BK$50</f>
        <v>1200</v>
      </c>
    </row>
    <row r="67" spans="1:38" ht="20.100000000000001" customHeight="1" x14ac:dyDescent="0.2">
      <c r="A67" s="104"/>
      <c r="B67" s="298" t="s">
        <v>325</v>
      </c>
      <c r="C67" s="287">
        <v>56</v>
      </c>
      <c r="D67" s="292" t="s">
        <v>252</v>
      </c>
      <c r="E67" s="293"/>
      <c r="F67" s="294"/>
      <c r="G67" s="288" t="s">
        <v>349</v>
      </c>
      <c r="H67" s="289">
        <v>5</v>
      </c>
      <c r="I67" s="363">
        <v>3.75</v>
      </c>
      <c r="J67" s="309">
        <f t="shared" si="17"/>
        <v>100</v>
      </c>
      <c r="K67" s="371">
        <f t="shared" si="13"/>
        <v>5</v>
      </c>
      <c r="L67" s="290">
        <f t="shared" si="18"/>
        <v>0</v>
      </c>
      <c r="M67" s="290">
        <f t="shared" si="19"/>
        <v>0</v>
      </c>
      <c r="N67" s="308">
        <f t="shared" si="20"/>
        <v>0</v>
      </c>
      <c r="O67" s="381">
        <f t="shared" si="14"/>
        <v>0</v>
      </c>
      <c r="P67" s="351">
        <f t="shared" si="21"/>
        <v>0.27999999999999997</v>
      </c>
      <c r="Q67" s="290">
        <f t="shared" si="8"/>
        <v>1.4</v>
      </c>
      <c r="R67" s="290">
        <f t="shared" si="22"/>
        <v>0.04</v>
      </c>
      <c r="S67" s="290">
        <f t="shared" si="9"/>
        <v>0.2</v>
      </c>
      <c r="T67" s="290">
        <f t="shared" si="23"/>
        <v>0.04</v>
      </c>
      <c r="U67" s="290">
        <f t="shared" si="10"/>
        <v>0.2</v>
      </c>
      <c r="V67" s="290">
        <f t="shared" si="24"/>
        <v>0.64</v>
      </c>
      <c r="W67" s="308">
        <f t="shared" si="11"/>
        <v>3.2</v>
      </c>
      <c r="X67" s="312">
        <v>50</v>
      </c>
      <c r="Y67" s="290" t="s">
        <v>169</v>
      </c>
      <c r="Z67" s="297">
        <f t="shared" si="16"/>
        <v>100</v>
      </c>
      <c r="AB67" s="114"/>
      <c r="AC67" s="241"/>
      <c r="AD67" s="401">
        <f>[65]Aspal!$BN$53</f>
        <v>5000</v>
      </c>
      <c r="AE67" s="401"/>
      <c r="AF67" s="401"/>
      <c r="AG67" s="401"/>
      <c r="AH67" s="401">
        <f>[65]Aspal!$BH$50</f>
        <v>1400</v>
      </c>
      <c r="AI67" s="401">
        <f>[65]Aspal!$BI$50</f>
        <v>200</v>
      </c>
      <c r="AJ67" s="401">
        <f>[65]Aspal!$BJ$50</f>
        <v>200</v>
      </c>
      <c r="AK67" s="401">
        <f>[65]Aspal!$BK$50</f>
        <v>3200</v>
      </c>
    </row>
    <row r="68" spans="1:38" ht="20.100000000000001" customHeight="1" x14ac:dyDescent="0.2">
      <c r="A68" s="104"/>
      <c r="B68" s="298" t="s">
        <v>326</v>
      </c>
      <c r="C68" s="287">
        <v>57</v>
      </c>
      <c r="D68" s="292" t="s">
        <v>253</v>
      </c>
      <c r="E68" s="293"/>
      <c r="F68" s="294"/>
      <c r="G68" s="288" t="s">
        <v>350</v>
      </c>
      <c r="H68" s="289">
        <v>3</v>
      </c>
      <c r="I68" s="363">
        <v>4</v>
      </c>
      <c r="J68" s="309">
        <f t="shared" si="17"/>
        <v>100</v>
      </c>
      <c r="K68" s="371">
        <f t="shared" si="13"/>
        <v>3</v>
      </c>
      <c r="L68" s="290">
        <f t="shared" si="18"/>
        <v>0</v>
      </c>
      <c r="M68" s="290">
        <f t="shared" si="19"/>
        <v>0</v>
      </c>
      <c r="N68" s="308">
        <f t="shared" si="20"/>
        <v>0</v>
      </c>
      <c r="O68" s="381">
        <f t="shared" si="14"/>
        <v>0</v>
      </c>
      <c r="P68" s="351">
        <f t="shared" si="21"/>
        <v>0.46666666666666662</v>
      </c>
      <c r="Q68" s="290">
        <f t="shared" si="8"/>
        <v>1.4</v>
      </c>
      <c r="R68" s="290">
        <f t="shared" si="22"/>
        <v>0.46666666666666662</v>
      </c>
      <c r="S68" s="290">
        <f t="shared" si="9"/>
        <v>1.4</v>
      </c>
      <c r="T68" s="290">
        <f t="shared" si="23"/>
        <v>0</v>
      </c>
      <c r="U68" s="290">
        <f t="shared" si="10"/>
        <v>0</v>
      </c>
      <c r="V68" s="290">
        <f t="shared" si="24"/>
        <v>6.6666666666666666E-2</v>
      </c>
      <c r="W68" s="308">
        <f t="shared" si="11"/>
        <v>0.2</v>
      </c>
      <c r="X68" s="312">
        <v>40</v>
      </c>
      <c r="Y68" s="290" t="s">
        <v>358</v>
      </c>
      <c r="Z68" s="297">
        <f t="shared" ref="Z68:Z84" si="25">(P68+R68+T68+V68)*100</f>
        <v>99.999999999999986</v>
      </c>
      <c r="AC68" s="241"/>
      <c r="AD68" s="401">
        <f>[66]Aspal!$BN$33</f>
        <v>3000</v>
      </c>
      <c r="AE68" s="401"/>
      <c r="AF68" s="401"/>
      <c r="AG68" s="401"/>
      <c r="AH68" s="401">
        <f>[66]Aspal!$BH$30</f>
        <v>1400</v>
      </c>
      <c r="AI68" s="401">
        <f>[66]Aspal!$BI$30</f>
        <v>1400</v>
      </c>
      <c r="AJ68" s="401">
        <f>[66]Aspal!$BJ$30</f>
        <v>0</v>
      </c>
      <c r="AK68" s="401">
        <f>[66]Aspal!$BK$30</f>
        <v>200</v>
      </c>
    </row>
    <row r="69" spans="1:38" ht="20.100000000000001" customHeight="1" x14ac:dyDescent="0.2">
      <c r="A69" s="104"/>
      <c r="B69" s="298" t="s">
        <v>327</v>
      </c>
      <c r="C69" s="287">
        <v>58</v>
      </c>
      <c r="D69" s="292" t="s">
        <v>254</v>
      </c>
      <c r="E69" s="293"/>
      <c r="F69" s="294"/>
      <c r="G69" s="288" t="s">
        <v>350</v>
      </c>
      <c r="H69" s="289">
        <v>5</v>
      </c>
      <c r="I69" s="363">
        <v>3.5</v>
      </c>
      <c r="J69" s="309">
        <f t="shared" si="17"/>
        <v>52</v>
      </c>
      <c r="K69" s="371">
        <f t="shared" si="13"/>
        <v>2.6</v>
      </c>
      <c r="L69" s="290">
        <f t="shared" si="18"/>
        <v>0</v>
      </c>
      <c r="M69" s="290">
        <f t="shared" si="19"/>
        <v>0</v>
      </c>
      <c r="N69" s="308">
        <f t="shared" si="20"/>
        <v>48</v>
      </c>
      <c r="O69" s="381">
        <f t="shared" si="14"/>
        <v>2.4</v>
      </c>
      <c r="P69" s="351">
        <f t="shared" si="21"/>
        <v>0.04</v>
      </c>
      <c r="Q69" s="290">
        <f t="shared" si="8"/>
        <v>0.2</v>
      </c>
      <c r="R69" s="290">
        <f t="shared" si="22"/>
        <v>0.16</v>
      </c>
      <c r="S69" s="290">
        <f t="shared" si="9"/>
        <v>0.8</v>
      </c>
      <c r="T69" s="290">
        <f t="shared" si="23"/>
        <v>0.2</v>
      </c>
      <c r="U69" s="290">
        <f t="shared" si="10"/>
        <v>1</v>
      </c>
      <c r="V69" s="290">
        <f t="shared" si="24"/>
        <v>0.6</v>
      </c>
      <c r="W69" s="308">
        <f t="shared" si="11"/>
        <v>3</v>
      </c>
      <c r="X69" s="312">
        <v>30</v>
      </c>
      <c r="Y69" s="290" t="s">
        <v>358</v>
      </c>
      <c r="Z69" s="297">
        <f t="shared" si="25"/>
        <v>100</v>
      </c>
      <c r="AC69" s="241"/>
      <c r="AD69" s="401">
        <f>[67]Aspal!$BN$53</f>
        <v>2600</v>
      </c>
      <c r="AE69" s="401"/>
      <c r="AF69" s="401"/>
      <c r="AG69" s="401">
        <f>'[67]Non Aspal'!$BW$49</f>
        <v>2400</v>
      </c>
      <c r="AH69" s="401">
        <f>[67]Aspal!$BH$50</f>
        <v>200</v>
      </c>
      <c r="AI69" s="401">
        <f>[67]Aspal!$BI$50</f>
        <v>800</v>
      </c>
      <c r="AJ69" s="401">
        <f>[67]Aspal!$BJ$50</f>
        <v>1000</v>
      </c>
      <c r="AK69" s="401">
        <f>[67]Aspal!$BK$50+'[67]Non Aspal'!$BU$50</f>
        <v>3000</v>
      </c>
    </row>
    <row r="70" spans="1:38" ht="20.100000000000001" customHeight="1" x14ac:dyDescent="0.2">
      <c r="A70" s="104"/>
      <c r="B70" s="298" t="s">
        <v>328</v>
      </c>
      <c r="C70" s="287">
        <v>59</v>
      </c>
      <c r="D70" s="292" t="s">
        <v>255</v>
      </c>
      <c r="E70" s="293"/>
      <c r="F70" s="294"/>
      <c r="G70" s="288" t="s">
        <v>352</v>
      </c>
      <c r="H70" s="289">
        <v>8.3000000000000007</v>
      </c>
      <c r="I70" s="363">
        <v>3.5</v>
      </c>
      <c r="J70" s="309">
        <f t="shared" si="17"/>
        <v>57.831325301204814</v>
      </c>
      <c r="K70" s="371">
        <f t="shared" si="13"/>
        <v>4.8</v>
      </c>
      <c r="L70" s="290">
        <f t="shared" si="18"/>
        <v>0</v>
      </c>
      <c r="M70" s="290">
        <f t="shared" si="19"/>
        <v>0</v>
      </c>
      <c r="N70" s="308">
        <f t="shared" si="20"/>
        <v>42.168674698795179</v>
      </c>
      <c r="O70" s="381">
        <f t="shared" si="14"/>
        <v>3.5</v>
      </c>
      <c r="P70" s="351">
        <f t="shared" si="21"/>
        <v>0.57831325301204817</v>
      </c>
      <c r="Q70" s="290">
        <f t="shared" si="8"/>
        <v>4.8</v>
      </c>
      <c r="R70" s="290">
        <f t="shared" si="22"/>
        <v>0</v>
      </c>
      <c r="S70" s="290">
        <f t="shared" si="9"/>
        <v>0</v>
      </c>
      <c r="T70" s="290">
        <f t="shared" si="23"/>
        <v>0</v>
      </c>
      <c r="U70" s="290">
        <f t="shared" si="10"/>
        <v>0</v>
      </c>
      <c r="V70" s="290">
        <f t="shared" si="24"/>
        <v>0.42168674698795178</v>
      </c>
      <c r="W70" s="308">
        <f t="shared" si="11"/>
        <v>3.5</v>
      </c>
      <c r="X70" s="312">
        <v>25</v>
      </c>
      <c r="Y70" s="290" t="s">
        <v>358</v>
      </c>
      <c r="Z70" s="297">
        <f t="shared" si="25"/>
        <v>100</v>
      </c>
      <c r="AC70" s="241"/>
      <c r="AD70" s="401">
        <f>[68]Aspal!$BN$53</f>
        <v>4800</v>
      </c>
      <c r="AE70" s="401"/>
      <c r="AF70" s="401"/>
      <c r="AG70" s="401">
        <f>'[68]Non Aspal'!$BW$49</f>
        <v>3500</v>
      </c>
      <c r="AH70" s="401">
        <f>[68]Aspal!$BH$50</f>
        <v>4800</v>
      </c>
      <c r="AI70" s="401">
        <f>[68]Aspal!$BI$50</f>
        <v>0</v>
      </c>
      <c r="AJ70" s="401">
        <f>[68]Aspal!$BJ$50</f>
        <v>0</v>
      </c>
      <c r="AK70" s="401">
        <f>[68]Aspal!$BK$50+'[68]Non Aspal'!$BU$50</f>
        <v>3500</v>
      </c>
    </row>
    <row r="71" spans="1:38" ht="20.100000000000001" customHeight="1" x14ac:dyDescent="0.2">
      <c r="A71" s="104"/>
      <c r="B71" s="298" t="s">
        <v>329</v>
      </c>
      <c r="C71" s="287">
        <v>60</v>
      </c>
      <c r="D71" s="292" t="s">
        <v>256</v>
      </c>
      <c r="E71" s="293"/>
      <c r="F71" s="294"/>
      <c r="G71" s="288" t="s">
        <v>352</v>
      </c>
      <c r="H71" s="289">
        <v>5</v>
      </c>
      <c r="I71" s="363">
        <v>3.5</v>
      </c>
      <c r="J71" s="309">
        <f t="shared" si="17"/>
        <v>55.999999999999993</v>
      </c>
      <c r="K71" s="371">
        <f t="shared" si="13"/>
        <v>2.8</v>
      </c>
      <c r="L71" s="290">
        <f t="shared" si="18"/>
        <v>0</v>
      </c>
      <c r="M71" s="290">
        <f t="shared" si="19"/>
        <v>0</v>
      </c>
      <c r="N71" s="308">
        <f t="shared" si="20"/>
        <v>44.000000000000007</v>
      </c>
      <c r="O71" s="381">
        <f t="shared" si="14"/>
        <v>2.2000000000000002</v>
      </c>
      <c r="P71" s="351">
        <f t="shared" si="21"/>
        <v>0.44000000000000006</v>
      </c>
      <c r="Q71" s="290">
        <f t="shared" si="8"/>
        <v>2.2000000000000002</v>
      </c>
      <c r="R71" s="290">
        <f t="shared" si="22"/>
        <v>0.12</v>
      </c>
      <c r="S71" s="290">
        <f t="shared" si="9"/>
        <v>0.6</v>
      </c>
      <c r="T71" s="290">
        <f t="shared" si="23"/>
        <v>0</v>
      </c>
      <c r="U71" s="290">
        <f t="shared" si="10"/>
        <v>0</v>
      </c>
      <c r="V71" s="290">
        <f t="shared" si="24"/>
        <v>0.44000000000000006</v>
      </c>
      <c r="W71" s="308">
        <f t="shared" si="11"/>
        <v>2.2000000000000002</v>
      </c>
      <c r="X71" s="312">
        <v>20</v>
      </c>
      <c r="Y71" s="290" t="s">
        <v>358</v>
      </c>
      <c r="Z71" s="297">
        <f t="shared" si="25"/>
        <v>100</v>
      </c>
      <c r="AC71" s="241"/>
      <c r="AD71" s="401">
        <f>[69]Aspal!$BN$32</f>
        <v>2800</v>
      </c>
      <c r="AE71" s="401"/>
      <c r="AF71" s="401"/>
      <c r="AG71" s="401">
        <f>'[69]Non Aspal'!$BW$25</f>
        <v>2200</v>
      </c>
      <c r="AH71" s="401">
        <f>[69]Aspal!$BH$29</f>
        <v>2200</v>
      </c>
      <c r="AI71" s="401">
        <f>[69]Aspal!$BI$29</f>
        <v>600</v>
      </c>
      <c r="AJ71" s="401">
        <f>[69]Aspal!$BJ$29</f>
        <v>0</v>
      </c>
      <c r="AK71" s="401">
        <f>[69]Aspal!$BK$29+'[69]Non Aspal'!$BU$26</f>
        <v>2200</v>
      </c>
    </row>
    <row r="72" spans="1:38" ht="20.100000000000001" customHeight="1" x14ac:dyDescent="0.2">
      <c r="A72" s="104"/>
      <c r="B72" s="298" t="s">
        <v>330</v>
      </c>
      <c r="C72" s="287">
        <v>61</v>
      </c>
      <c r="D72" s="292" t="s">
        <v>257</v>
      </c>
      <c r="E72" s="293"/>
      <c r="F72" s="294"/>
      <c r="G72" s="288" t="s">
        <v>352</v>
      </c>
      <c r="H72" s="289">
        <v>7</v>
      </c>
      <c r="I72" s="363">
        <v>3.5</v>
      </c>
      <c r="J72" s="309">
        <f t="shared" si="17"/>
        <v>85.714285714285708</v>
      </c>
      <c r="K72" s="371">
        <f t="shared" si="13"/>
        <v>6</v>
      </c>
      <c r="L72" s="290">
        <f t="shared" si="18"/>
        <v>0</v>
      </c>
      <c r="M72" s="290">
        <f t="shared" si="19"/>
        <v>0</v>
      </c>
      <c r="N72" s="308">
        <f t="shared" si="20"/>
        <v>14.285714285714285</v>
      </c>
      <c r="O72" s="381">
        <f t="shared" si="14"/>
        <v>1</v>
      </c>
      <c r="P72" s="351">
        <f t="shared" si="21"/>
        <v>0</v>
      </c>
      <c r="Q72" s="290">
        <f t="shared" si="8"/>
        <v>0</v>
      </c>
      <c r="R72" s="290">
        <f t="shared" si="22"/>
        <v>0</v>
      </c>
      <c r="S72" s="290">
        <f t="shared" si="9"/>
        <v>0</v>
      </c>
      <c r="T72" s="290">
        <f t="shared" si="23"/>
        <v>0.8571428571428571</v>
      </c>
      <c r="U72" s="290">
        <f t="shared" si="10"/>
        <v>6</v>
      </c>
      <c r="V72" s="290">
        <f t="shared" si="24"/>
        <v>0.14285714285714285</v>
      </c>
      <c r="W72" s="308">
        <f t="shared" si="11"/>
        <v>1</v>
      </c>
      <c r="X72" s="312">
        <v>50</v>
      </c>
      <c r="Y72" s="290" t="s">
        <v>358</v>
      </c>
      <c r="Z72" s="297">
        <f t="shared" si="25"/>
        <v>100</v>
      </c>
      <c r="AC72" s="241"/>
      <c r="AD72" s="401">
        <f>[70]Aspal!$BN$48</f>
        <v>6000</v>
      </c>
      <c r="AE72" s="401"/>
      <c r="AF72" s="401"/>
      <c r="AG72" s="401">
        <f>'[70]Non Aspal'!$BW$19</f>
        <v>1000</v>
      </c>
      <c r="AH72" s="401">
        <f>[70]Aspal!$BH$45</f>
        <v>0</v>
      </c>
      <c r="AI72" s="401">
        <f>[70]Aspal!$BI$45</f>
        <v>0</v>
      </c>
      <c r="AJ72" s="401">
        <f>[70]Aspal!$BJ$45</f>
        <v>6000</v>
      </c>
      <c r="AK72" s="401">
        <f>'[70]Non Aspal'!$BU$20</f>
        <v>1000</v>
      </c>
    </row>
    <row r="73" spans="1:38" ht="20.100000000000001" customHeight="1" x14ac:dyDescent="0.2">
      <c r="A73" s="104"/>
      <c r="B73" s="298" t="s">
        <v>331</v>
      </c>
      <c r="C73" s="287">
        <v>62</v>
      </c>
      <c r="D73" s="292" t="s">
        <v>258</v>
      </c>
      <c r="E73" s="293"/>
      <c r="F73" s="294"/>
      <c r="G73" s="288" t="s">
        <v>352</v>
      </c>
      <c r="H73" s="289">
        <v>8</v>
      </c>
      <c r="I73" s="363">
        <v>3.5</v>
      </c>
      <c r="J73" s="309">
        <f t="shared" si="17"/>
        <v>82.5</v>
      </c>
      <c r="K73" s="371">
        <f t="shared" si="13"/>
        <v>6.6</v>
      </c>
      <c r="L73" s="290">
        <f t="shared" si="18"/>
        <v>0</v>
      </c>
      <c r="M73" s="290">
        <f t="shared" si="19"/>
        <v>0</v>
      </c>
      <c r="N73" s="308">
        <f t="shared" si="20"/>
        <v>17.5</v>
      </c>
      <c r="O73" s="381">
        <f t="shared" si="14"/>
        <v>1.4</v>
      </c>
      <c r="P73" s="351">
        <f t="shared" si="21"/>
        <v>0.82499999999999996</v>
      </c>
      <c r="Q73" s="290">
        <f t="shared" si="8"/>
        <v>6.6</v>
      </c>
      <c r="R73" s="290">
        <f t="shared" si="22"/>
        <v>0</v>
      </c>
      <c r="S73" s="290">
        <f t="shared" si="9"/>
        <v>0</v>
      </c>
      <c r="T73" s="290">
        <f t="shared" si="23"/>
        <v>0</v>
      </c>
      <c r="U73" s="290">
        <f t="shared" si="10"/>
        <v>0</v>
      </c>
      <c r="V73" s="290">
        <f t="shared" si="24"/>
        <v>0.17499999999999999</v>
      </c>
      <c r="W73" s="308">
        <f t="shared" si="11"/>
        <v>1.4</v>
      </c>
      <c r="X73" s="312">
        <v>25</v>
      </c>
      <c r="Y73" s="290" t="s">
        <v>358</v>
      </c>
      <c r="Z73" s="297">
        <f t="shared" si="25"/>
        <v>100</v>
      </c>
      <c r="AC73" s="241"/>
      <c r="AD73" s="401">
        <f>[71]Aspal!$BN$51</f>
        <v>6600</v>
      </c>
      <c r="AE73" s="401"/>
      <c r="AF73" s="401"/>
      <c r="AG73" s="401">
        <f>'[71]Non Aspal'!$BW$21</f>
        <v>1400</v>
      </c>
      <c r="AH73" s="401">
        <f>[71]Aspal!$BH$48</f>
        <v>6600</v>
      </c>
      <c r="AI73" s="401">
        <f>[71]Aspal!$BI$48</f>
        <v>0</v>
      </c>
      <c r="AJ73" s="401">
        <f>[71]Aspal!$BJ$48</f>
        <v>0</v>
      </c>
      <c r="AK73" s="401">
        <f>[71]Aspal!$BK$48+'[71]Non Aspal'!$BU$22</f>
        <v>1400</v>
      </c>
    </row>
    <row r="74" spans="1:38" ht="20.100000000000001" customHeight="1" x14ac:dyDescent="0.2">
      <c r="A74" s="104"/>
      <c r="B74" s="298" t="s">
        <v>332</v>
      </c>
      <c r="C74" s="287">
        <v>63</v>
      </c>
      <c r="D74" s="292" t="s">
        <v>259</v>
      </c>
      <c r="E74" s="293"/>
      <c r="F74" s="294"/>
      <c r="G74" s="288" t="s">
        <v>353</v>
      </c>
      <c r="H74" s="289">
        <v>14.7</v>
      </c>
      <c r="I74" s="363">
        <v>4</v>
      </c>
      <c r="J74" s="309">
        <f t="shared" si="17"/>
        <v>100</v>
      </c>
      <c r="K74" s="371">
        <f t="shared" si="13"/>
        <v>14.7</v>
      </c>
      <c r="L74" s="290">
        <f t="shared" si="18"/>
        <v>0</v>
      </c>
      <c r="M74" s="290">
        <f t="shared" si="19"/>
        <v>0</v>
      </c>
      <c r="N74" s="308">
        <f t="shared" si="20"/>
        <v>0</v>
      </c>
      <c r="O74" s="381">
        <f t="shared" si="14"/>
        <v>0</v>
      </c>
      <c r="P74" s="351">
        <f t="shared" si="21"/>
        <v>0.94557823129251706</v>
      </c>
      <c r="Q74" s="290">
        <f t="shared" si="8"/>
        <v>13.9</v>
      </c>
      <c r="R74" s="290">
        <f t="shared" si="22"/>
        <v>0</v>
      </c>
      <c r="S74" s="290">
        <f t="shared" si="9"/>
        <v>0</v>
      </c>
      <c r="T74" s="290">
        <f t="shared" si="23"/>
        <v>1.360544217687075E-2</v>
      </c>
      <c r="U74" s="290">
        <f t="shared" si="10"/>
        <v>0.2</v>
      </c>
      <c r="V74" s="290">
        <f t="shared" si="24"/>
        <v>4.0816326530612249E-2</v>
      </c>
      <c r="W74" s="308">
        <f t="shared" si="11"/>
        <v>0.6</v>
      </c>
      <c r="X74" s="312">
        <v>170</v>
      </c>
      <c r="Y74" s="290" t="s">
        <v>358</v>
      </c>
      <c r="Z74" s="297">
        <f t="shared" si="25"/>
        <v>100</v>
      </c>
      <c r="AB74" s="114"/>
      <c r="AC74" s="241"/>
      <c r="AD74" s="401">
        <f>[72]Aspal!$BN$92</f>
        <v>14700</v>
      </c>
      <c r="AE74" s="401"/>
      <c r="AF74" s="401"/>
      <c r="AG74" s="401"/>
      <c r="AH74" s="401">
        <f>[72]Aspal!$BH$89</f>
        <v>13900</v>
      </c>
      <c r="AI74" s="401">
        <f>[72]Aspal!$BI$89</f>
        <v>0</v>
      </c>
      <c r="AJ74" s="401">
        <f>[72]Aspal!$BJ$89</f>
        <v>200</v>
      </c>
      <c r="AK74" s="401">
        <f>[72]Aspal!$BK$89</f>
        <v>600</v>
      </c>
    </row>
    <row r="75" spans="1:38" ht="20.100000000000001" customHeight="1" x14ac:dyDescent="0.2">
      <c r="A75" s="104"/>
      <c r="B75" s="298" t="s">
        <v>333</v>
      </c>
      <c r="C75" s="287">
        <v>64</v>
      </c>
      <c r="D75" s="292" t="s">
        <v>260</v>
      </c>
      <c r="E75" s="293"/>
      <c r="F75" s="294"/>
      <c r="G75" s="288" t="s">
        <v>353</v>
      </c>
      <c r="H75" s="289">
        <v>12</v>
      </c>
      <c r="I75" s="363">
        <v>4</v>
      </c>
      <c r="J75" s="309">
        <f t="shared" si="17"/>
        <v>100</v>
      </c>
      <c r="K75" s="371">
        <f t="shared" si="13"/>
        <v>12</v>
      </c>
      <c r="L75" s="290">
        <f t="shared" si="18"/>
        <v>0</v>
      </c>
      <c r="M75" s="290">
        <f t="shared" si="19"/>
        <v>0</v>
      </c>
      <c r="N75" s="308">
        <f t="shared" si="20"/>
        <v>0</v>
      </c>
      <c r="O75" s="381">
        <f t="shared" si="14"/>
        <v>0</v>
      </c>
      <c r="P75" s="351">
        <f t="shared" si="21"/>
        <v>0.91666666666666663</v>
      </c>
      <c r="Q75" s="290">
        <f t="shared" si="8"/>
        <v>11</v>
      </c>
      <c r="R75" s="290">
        <f t="shared" si="22"/>
        <v>8.3333333333333329E-2</v>
      </c>
      <c r="S75" s="290">
        <f t="shared" si="9"/>
        <v>1</v>
      </c>
      <c r="T75" s="290">
        <f t="shared" si="23"/>
        <v>0</v>
      </c>
      <c r="U75" s="290">
        <f t="shared" si="10"/>
        <v>0</v>
      </c>
      <c r="V75" s="290">
        <f t="shared" si="24"/>
        <v>0</v>
      </c>
      <c r="W75" s="308">
        <f t="shared" si="11"/>
        <v>0</v>
      </c>
      <c r="X75" s="312">
        <v>170</v>
      </c>
      <c r="Y75" s="290" t="s">
        <v>169</v>
      </c>
      <c r="Z75" s="297">
        <f t="shared" si="25"/>
        <v>100</v>
      </c>
      <c r="AC75" s="241"/>
      <c r="AD75" s="401">
        <f>[73]Aspal!$BN$79</f>
        <v>12000</v>
      </c>
      <c r="AE75" s="401"/>
      <c r="AF75" s="401"/>
      <c r="AG75" s="401"/>
      <c r="AH75" s="401">
        <f>[73]Aspal!$BH$76</f>
        <v>11000</v>
      </c>
      <c r="AI75" s="401">
        <f>[73]Aspal!$BI$76</f>
        <v>1000</v>
      </c>
      <c r="AJ75" s="401">
        <f>[73]Aspal!$BJ$76</f>
        <v>0</v>
      </c>
      <c r="AK75" s="401">
        <f>[73]Aspal!$BK$76</f>
        <v>0</v>
      </c>
    </row>
    <row r="76" spans="1:38" ht="20.100000000000001" customHeight="1" x14ac:dyDescent="0.2">
      <c r="A76" s="104"/>
      <c r="B76" s="298" t="s">
        <v>334</v>
      </c>
      <c r="C76" s="287">
        <v>65</v>
      </c>
      <c r="D76" s="292" t="s">
        <v>261</v>
      </c>
      <c r="E76" s="293"/>
      <c r="F76" s="294"/>
      <c r="G76" s="288" t="s">
        <v>353</v>
      </c>
      <c r="H76" s="289">
        <v>6</v>
      </c>
      <c r="I76" s="363">
        <v>3.5</v>
      </c>
      <c r="J76" s="309">
        <f t="shared" ref="J76:J84" si="26">((AD76/1000)/H76)*100</f>
        <v>93.333333333333329</v>
      </c>
      <c r="K76" s="371">
        <f t="shared" si="13"/>
        <v>5.6</v>
      </c>
      <c r="L76" s="290">
        <f t="shared" ref="L76:L84" si="27">((AE76/1000)/H76)*100</f>
        <v>0</v>
      </c>
      <c r="M76" s="290">
        <f t="shared" ref="M76:M84" si="28">((AF76/1000)/H76)*100</f>
        <v>0</v>
      </c>
      <c r="N76" s="308">
        <f t="shared" ref="N76:N84" si="29">((AG76/1000)/H76)*100</f>
        <v>6.666666666666667</v>
      </c>
      <c r="O76" s="381">
        <f t="shared" si="14"/>
        <v>0.4</v>
      </c>
      <c r="P76" s="351">
        <f t="shared" ref="P76:P84" si="30">Q76/H76</f>
        <v>0.13333333333333333</v>
      </c>
      <c r="Q76" s="290">
        <f t="shared" si="8"/>
        <v>0.8</v>
      </c>
      <c r="R76" s="290">
        <f t="shared" ref="R76:R84" si="31">S76/H76</f>
        <v>6.6666666666666666E-2</v>
      </c>
      <c r="S76" s="290">
        <f t="shared" si="9"/>
        <v>0.4</v>
      </c>
      <c r="T76" s="290">
        <f t="shared" ref="T76:T84" si="32">U76/H76</f>
        <v>0.43333333333333335</v>
      </c>
      <c r="U76" s="290">
        <f t="shared" si="10"/>
        <v>2.6</v>
      </c>
      <c r="V76" s="290">
        <f t="shared" ref="V76:V84" si="33">W76/H76</f>
        <v>0.3666666666666667</v>
      </c>
      <c r="W76" s="308">
        <f t="shared" si="11"/>
        <v>2.2000000000000002</v>
      </c>
      <c r="X76" s="312">
        <v>75</v>
      </c>
      <c r="Y76" s="290" t="s">
        <v>169</v>
      </c>
      <c r="Z76" s="297">
        <f t="shared" si="25"/>
        <v>100</v>
      </c>
      <c r="AB76" s="114"/>
      <c r="AC76" s="241"/>
      <c r="AD76" s="401">
        <f>[74]Aspal!$BN$46</f>
        <v>5600</v>
      </c>
      <c r="AE76" s="401"/>
      <c r="AF76" s="401"/>
      <c r="AG76" s="401">
        <f>'[74]Non Aspal'!$BW$16</f>
        <v>400</v>
      </c>
      <c r="AH76" s="401">
        <f>[74]Aspal!$BH$43</f>
        <v>800</v>
      </c>
      <c r="AI76" s="401">
        <f>[74]Aspal!$BI$43</f>
        <v>400</v>
      </c>
      <c r="AJ76" s="401">
        <f>[74]Aspal!$BJ$43</f>
        <v>2600</v>
      </c>
      <c r="AK76" s="401">
        <f>[74]Aspal!$BK$43+'[74]Non Aspal'!$BU$17</f>
        <v>2200</v>
      </c>
    </row>
    <row r="77" spans="1:38" ht="20.100000000000001" customHeight="1" x14ac:dyDescent="0.2">
      <c r="A77" s="104"/>
      <c r="B77" s="298" t="s">
        <v>335</v>
      </c>
      <c r="C77" s="287">
        <v>66</v>
      </c>
      <c r="D77" s="292" t="s">
        <v>262</v>
      </c>
      <c r="E77" s="293"/>
      <c r="F77" s="294"/>
      <c r="G77" s="288" t="s">
        <v>353</v>
      </c>
      <c r="H77" s="289">
        <v>7</v>
      </c>
      <c r="I77" s="363">
        <v>3.5</v>
      </c>
      <c r="J77" s="309">
        <f t="shared" si="26"/>
        <v>45.714285714285715</v>
      </c>
      <c r="K77" s="371">
        <f t="shared" si="13"/>
        <v>3.1999999999999997</v>
      </c>
      <c r="L77" s="290">
        <f t="shared" si="27"/>
        <v>0</v>
      </c>
      <c r="M77" s="290">
        <f t="shared" si="28"/>
        <v>0</v>
      </c>
      <c r="N77" s="308">
        <f t="shared" si="29"/>
        <v>54.285714285714285</v>
      </c>
      <c r="O77" s="381">
        <f t="shared" si="14"/>
        <v>3.8</v>
      </c>
      <c r="P77" s="351">
        <f t="shared" si="30"/>
        <v>0.1142857142857143</v>
      </c>
      <c r="Q77" s="290">
        <f t="shared" ref="Q77:Q84" si="34">AH77/1000</f>
        <v>0.8</v>
      </c>
      <c r="R77" s="290">
        <f t="shared" si="31"/>
        <v>0.31428571428571433</v>
      </c>
      <c r="S77" s="290">
        <f t="shared" ref="S77:S84" si="35">AI77/1000</f>
        <v>2.2000000000000002</v>
      </c>
      <c r="T77" s="290">
        <f t="shared" si="32"/>
        <v>0</v>
      </c>
      <c r="U77" s="290">
        <f t="shared" ref="U77:U84" si="36">AJ77/1000</f>
        <v>0</v>
      </c>
      <c r="V77" s="290">
        <f t="shared" si="33"/>
        <v>0.5714285714285714</v>
      </c>
      <c r="W77" s="308">
        <f t="shared" ref="W77:W84" si="37">AK77/1000</f>
        <v>4</v>
      </c>
      <c r="X77" s="312">
        <v>40</v>
      </c>
      <c r="Y77" s="290" t="s">
        <v>169</v>
      </c>
      <c r="Z77" s="297">
        <f t="shared" si="25"/>
        <v>100</v>
      </c>
      <c r="AC77" s="241"/>
      <c r="AD77" s="401">
        <f>[75]Aspal!$BN$34</f>
        <v>3200</v>
      </c>
      <c r="AE77" s="401"/>
      <c r="AF77" s="401"/>
      <c r="AG77" s="401">
        <f>'[75]Non Aspal'!$BW$33</f>
        <v>3800</v>
      </c>
      <c r="AH77" s="401">
        <f>[75]Aspal!$BH$31</f>
        <v>800</v>
      </c>
      <c r="AI77" s="401">
        <f>[75]Aspal!$BI$31</f>
        <v>2200</v>
      </c>
      <c r="AJ77" s="401">
        <f>[75]Aspal!$BJ$31</f>
        <v>0</v>
      </c>
      <c r="AK77" s="401">
        <f>[75]Aspal!$BK$31+'[75]Non Aspal'!$BU$34</f>
        <v>4000</v>
      </c>
    </row>
    <row r="78" spans="1:38" ht="20.100000000000001" customHeight="1" x14ac:dyDescent="0.2">
      <c r="A78" s="104"/>
      <c r="B78" s="298" t="s">
        <v>336</v>
      </c>
      <c r="C78" s="287">
        <v>67</v>
      </c>
      <c r="D78" s="292" t="s">
        <v>263</v>
      </c>
      <c r="E78" s="293"/>
      <c r="F78" s="294"/>
      <c r="G78" s="288" t="s">
        <v>353</v>
      </c>
      <c r="H78" s="289">
        <v>3</v>
      </c>
      <c r="I78" s="363">
        <v>3.5</v>
      </c>
      <c r="J78" s="309">
        <f t="shared" si="26"/>
        <v>100</v>
      </c>
      <c r="K78" s="371">
        <f t="shared" ref="K78:K84" si="38">(J78/100)*H78</f>
        <v>3</v>
      </c>
      <c r="L78" s="290">
        <f t="shared" si="27"/>
        <v>0</v>
      </c>
      <c r="M78" s="290">
        <f t="shared" si="28"/>
        <v>0</v>
      </c>
      <c r="N78" s="308">
        <f t="shared" si="29"/>
        <v>0</v>
      </c>
      <c r="O78" s="381">
        <f t="shared" ref="O78:O84" si="39">(N78/100)*H78</f>
        <v>0</v>
      </c>
      <c r="P78" s="351">
        <f t="shared" si="30"/>
        <v>0.33333333333333331</v>
      </c>
      <c r="Q78" s="290">
        <f t="shared" si="34"/>
        <v>1</v>
      </c>
      <c r="R78" s="290">
        <f t="shared" si="31"/>
        <v>0.13333333333333333</v>
      </c>
      <c r="S78" s="290">
        <f t="shared" si="35"/>
        <v>0.4</v>
      </c>
      <c r="T78" s="290">
        <f t="shared" si="32"/>
        <v>0.53333333333333333</v>
      </c>
      <c r="U78" s="290">
        <f t="shared" si="36"/>
        <v>1.6</v>
      </c>
      <c r="V78" s="290">
        <f t="shared" si="33"/>
        <v>0</v>
      </c>
      <c r="W78" s="308">
        <f t="shared" si="37"/>
        <v>0</v>
      </c>
      <c r="X78" s="312">
        <v>70</v>
      </c>
      <c r="Y78" s="290" t="s">
        <v>169</v>
      </c>
      <c r="Z78" s="297">
        <f t="shared" si="25"/>
        <v>100</v>
      </c>
      <c r="AC78" s="241"/>
      <c r="AD78" s="401">
        <f>[76]Aspal!$BN$33</f>
        <v>3000</v>
      </c>
      <c r="AE78" s="401"/>
      <c r="AF78" s="401"/>
      <c r="AG78" s="401"/>
      <c r="AH78" s="401">
        <f>[76]Aspal!$BH$30</f>
        <v>1000</v>
      </c>
      <c r="AI78" s="401">
        <f>[76]Aspal!$BI$30</f>
        <v>400</v>
      </c>
      <c r="AJ78" s="401">
        <f>[76]Aspal!$BJ$30</f>
        <v>1600</v>
      </c>
      <c r="AK78" s="401">
        <f>[76]Aspal!$BK$30</f>
        <v>0</v>
      </c>
    </row>
    <row r="79" spans="1:38" ht="20.100000000000001" customHeight="1" x14ac:dyDescent="0.2">
      <c r="A79" s="104"/>
      <c r="B79" s="298" t="s">
        <v>337</v>
      </c>
      <c r="C79" s="287">
        <v>68</v>
      </c>
      <c r="D79" s="292" t="s">
        <v>264</v>
      </c>
      <c r="E79" s="293"/>
      <c r="F79" s="294"/>
      <c r="G79" s="288" t="s">
        <v>353</v>
      </c>
      <c r="H79" s="289">
        <v>3</v>
      </c>
      <c r="I79" s="363">
        <v>4</v>
      </c>
      <c r="J79" s="309">
        <f t="shared" si="26"/>
        <v>100</v>
      </c>
      <c r="K79" s="371">
        <f t="shared" si="38"/>
        <v>3</v>
      </c>
      <c r="L79" s="290">
        <f t="shared" si="27"/>
        <v>0</v>
      </c>
      <c r="M79" s="290">
        <f t="shared" si="28"/>
        <v>0</v>
      </c>
      <c r="N79" s="308">
        <f t="shared" si="29"/>
        <v>0</v>
      </c>
      <c r="O79" s="381">
        <f t="shared" si="39"/>
        <v>0</v>
      </c>
      <c r="P79" s="351">
        <f t="shared" si="30"/>
        <v>0.6</v>
      </c>
      <c r="Q79" s="290">
        <f t="shared" si="34"/>
        <v>1.8</v>
      </c>
      <c r="R79" s="290">
        <f t="shared" si="31"/>
        <v>0.19999999999999998</v>
      </c>
      <c r="S79" s="290">
        <f t="shared" si="35"/>
        <v>0.6</v>
      </c>
      <c r="T79" s="290">
        <f t="shared" si="32"/>
        <v>0</v>
      </c>
      <c r="U79" s="290">
        <f t="shared" si="36"/>
        <v>0</v>
      </c>
      <c r="V79" s="290">
        <f t="shared" si="33"/>
        <v>0.19999999999999998</v>
      </c>
      <c r="W79" s="308">
        <f t="shared" si="37"/>
        <v>0.6</v>
      </c>
      <c r="X79" s="312">
        <v>70</v>
      </c>
      <c r="Y79" s="290" t="s">
        <v>169</v>
      </c>
      <c r="Z79" s="297">
        <f t="shared" si="25"/>
        <v>99.999999999999986</v>
      </c>
      <c r="AC79" s="241"/>
      <c r="AD79" s="401">
        <f>[77]Aspal!$BN$33</f>
        <v>3000</v>
      </c>
      <c r="AE79" s="401"/>
      <c r="AF79" s="401"/>
      <c r="AG79" s="401"/>
      <c r="AH79" s="401">
        <f>[77]Aspal!$BH$30</f>
        <v>1800</v>
      </c>
      <c r="AI79" s="401">
        <f>[77]Aspal!$BI$30</f>
        <v>600</v>
      </c>
      <c r="AJ79" s="401">
        <f>[77]Aspal!$BJ$30</f>
        <v>0</v>
      </c>
      <c r="AK79" s="401">
        <f>[77]Aspal!$BK$30</f>
        <v>600</v>
      </c>
    </row>
    <row r="80" spans="1:38" ht="20.100000000000001" customHeight="1" x14ac:dyDescent="0.2">
      <c r="A80" s="104"/>
      <c r="B80" s="298" t="s">
        <v>338</v>
      </c>
      <c r="C80" s="287">
        <v>69</v>
      </c>
      <c r="D80" s="292" t="s">
        <v>265</v>
      </c>
      <c r="E80" s="293"/>
      <c r="F80" s="294"/>
      <c r="G80" s="288" t="s">
        <v>353</v>
      </c>
      <c r="H80" s="289">
        <v>6</v>
      </c>
      <c r="I80" s="363">
        <v>4</v>
      </c>
      <c r="J80" s="309">
        <f t="shared" si="26"/>
        <v>30</v>
      </c>
      <c r="K80" s="371">
        <f t="shared" si="38"/>
        <v>1.7999999999999998</v>
      </c>
      <c r="L80" s="290">
        <f t="shared" si="27"/>
        <v>0</v>
      </c>
      <c r="M80" s="290">
        <f t="shared" si="28"/>
        <v>0</v>
      </c>
      <c r="N80" s="308">
        <f t="shared" si="29"/>
        <v>70</v>
      </c>
      <c r="O80" s="381">
        <f t="shared" si="39"/>
        <v>4.1999999999999993</v>
      </c>
      <c r="P80" s="351">
        <f t="shared" si="30"/>
        <v>0.19999999999999998</v>
      </c>
      <c r="Q80" s="290">
        <f t="shared" si="34"/>
        <v>1.2</v>
      </c>
      <c r="R80" s="290">
        <f t="shared" si="31"/>
        <v>6.6666666666666666E-2</v>
      </c>
      <c r="S80" s="290">
        <f t="shared" si="35"/>
        <v>0.4</v>
      </c>
      <c r="T80" s="290">
        <f t="shared" si="32"/>
        <v>3.3333333333333333E-2</v>
      </c>
      <c r="U80" s="290">
        <f t="shared" si="36"/>
        <v>0.2</v>
      </c>
      <c r="V80" s="290">
        <f t="shared" si="33"/>
        <v>0.70000000000000007</v>
      </c>
      <c r="W80" s="308">
        <f t="shared" si="37"/>
        <v>4.2</v>
      </c>
      <c r="X80" s="312">
        <v>65</v>
      </c>
      <c r="Y80" s="290" t="s">
        <v>169</v>
      </c>
      <c r="Z80" s="297">
        <f t="shared" si="25"/>
        <v>100</v>
      </c>
      <c r="AC80" s="241"/>
      <c r="AD80" s="401">
        <f>[78]Aspal!$BN$27</f>
        <v>1800</v>
      </c>
      <c r="AE80" s="401"/>
      <c r="AF80" s="401"/>
      <c r="AG80" s="401">
        <f>'[78]Non Aspal'!$BW$35</f>
        <v>4200</v>
      </c>
      <c r="AH80" s="401">
        <f>[78]Aspal!$BH$24</f>
        <v>1200</v>
      </c>
      <c r="AI80" s="401">
        <f>[78]Aspal!$BI$24</f>
        <v>400</v>
      </c>
      <c r="AJ80" s="401">
        <f>[78]Aspal!$BJ$24</f>
        <v>200</v>
      </c>
      <c r="AK80" s="401">
        <f>[78]Aspal!$BK$24+'[78]Non Aspal'!$BU$36</f>
        <v>4200</v>
      </c>
      <c r="AL80" s="296"/>
    </row>
    <row r="81" spans="1:37" ht="20.100000000000001" customHeight="1" x14ac:dyDescent="0.2">
      <c r="A81" s="104"/>
      <c r="B81" s="298" t="s">
        <v>339</v>
      </c>
      <c r="C81" s="287">
        <v>70</v>
      </c>
      <c r="D81" s="292" t="s">
        <v>266</v>
      </c>
      <c r="E81" s="293"/>
      <c r="F81" s="294"/>
      <c r="G81" s="288" t="s">
        <v>353</v>
      </c>
      <c r="H81" s="289">
        <v>14</v>
      </c>
      <c r="I81" s="363">
        <v>4</v>
      </c>
      <c r="J81" s="309">
        <f t="shared" si="26"/>
        <v>84.285714285714292</v>
      </c>
      <c r="K81" s="371">
        <f t="shared" si="38"/>
        <v>11.8</v>
      </c>
      <c r="L81" s="290">
        <f t="shared" si="27"/>
        <v>0</v>
      </c>
      <c r="M81" s="290">
        <f t="shared" si="28"/>
        <v>0</v>
      </c>
      <c r="N81" s="308">
        <f t="shared" si="29"/>
        <v>15.714285714285717</v>
      </c>
      <c r="O81" s="381">
        <f t="shared" si="39"/>
        <v>2.2000000000000002</v>
      </c>
      <c r="P81" s="351">
        <f t="shared" si="30"/>
        <v>0.31428571428571433</v>
      </c>
      <c r="Q81" s="290">
        <f t="shared" si="34"/>
        <v>4.4000000000000004</v>
      </c>
      <c r="R81" s="290">
        <f t="shared" si="31"/>
        <v>7.1428571428571425E-2</v>
      </c>
      <c r="S81" s="290">
        <f t="shared" si="35"/>
        <v>1</v>
      </c>
      <c r="T81" s="290">
        <f t="shared" si="32"/>
        <v>4.2857142857142858E-2</v>
      </c>
      <c r="U81" s="290">
        <f t="shared" si="36"/>
        <v>0.6</v>
      </c>
      <c r="V81" s="290">
        <f t="shared" si="33"/>
        <v>0.5714285714285714</v>
      </c>
      <c r="W81" s="308">
        <f t="shared" si="37"/>
        <v>8</v>
      </c>
      <c r="X81" s="312">
        <v>55</v>
      </c>
      <c r="Y81" s="290" t="s">
        <v>169</v>
      </c>
      <c r="Z81" s="297">
        <f t="shared" si="25"/>
        <v>100</v>
      </c>
      <c r="AB81" s="114"/>
      <c r="AC81" s="241"/>
      <c r="AD81" s="401">
        <f>[79]Aspal!$BN$77</f>
        <v>11800</v>
      </c>
      <c r="AE81" s="401"/>
      <c r="AF81" s="401"/>
      <c r="AG81" s="401">
        <f>'[79]Non Aspal'!$BW$25</f>
        <v>2200</v>
      </c>
      <c r="AH81" s="401">
        <f>[79]Aspal!$BH$74</f>
        <v>4400</v>
      </c>
      <c r="AI81" s="401">
        <f>[79]Aspal!$BI$74</f>
        <v>1000</v>
      </c>
      <c r="AJ81" s="401">
        <f>[79]Aspal!$BJ$74</f>
        <v>600</v>
      </c>
      <c r="AK81" s="401">
        <f>[79]Aspal!$BK$74+'[79]Non Aspal'!$BU$26</f>
        <v>8000</v>
      </c>
    </row>
    <row r="82" spans="1:37" ht="20.100000000000001" customHeight="1" x14ac:dyDescent="0.2">
      <c r="A82" s="104"/>
      <c r="B82" s="298" t="s">
        <v>340</v>
      </c>
      <c r="C82" s="287">
        <v>71</v>
      </c>
      <c r="D82" s="292" t="s">
        <v>267</v>
      </c>
      <c r="E82" s="293"/>
      <c r="F82" s="294"/>
      <c r="G82" s="288" t="s">
        <v>353</v>
      </c>
      <c r="H82" s="289">
        <v>7</v>
      </c>
      <c r="I82" s="363">
        <v>3.5</v>
      </c>
      <c r="J82" s="309">
        <f t="shared" si="26"/>
        <v>31.428571428571434</v>
      </c>
      <c r="K82" s="371">
        <f t="shared" si="38"/>
        <v>2.2000000000000002</v>
      </c>
      <c r="L82" s="290">
        <f t="shared" si="27"/>
        <v>0</v>
      </c>
      <c r="M82" s="290">
        <f t="shared" si="28"/>
        <v>0</v>
      </c>
      <c r="N82" s="308">
        <f t="shared" si="29"/>
        <v>68.571428571428569</v>
      </c>
      <c r="O82" s="381">
        <f t="shared" si="39"/>
        <v>4.8</v>
      </c>
      <c r="P82" s="351">
        <f t="shared" si="30"/>
        <v>0</v>
      </c>
      <c r="Q82" s="290">
        <f t="shared" si="34"/>
        <v>0</v>
      </c>
      <c r="R82" s="290">
        <f t="shared" si="31"/>
        <v>5.7142857142857148E-2</v>
      </c>
      <c r="S82" s="290">
        <f t="shared" si="35"/>
        <v>0.4</v>
      </c>
      <c r="T82" s="290">
        <f t="shared" si="32"/>
        <v>0.14285714285714285</v>
      </c>
      <c r="U82" s="290">
        <f t="shared" si="36"/>
        <v>1</v>
      </c>
      <c r="V82" s="290">
        <f t="shared" si="33"/>
        <v>0.79999999999999993</v>
      </c>
      <c r="W82" s="308">
        <f t="shared" si="37"/>
        <v>5.6</v>
      </c>
      <c r="X82" s="311">
        <v>30</v>
      </c>
      <c r="Y82" s="291" t="s">
        <v>169</v>
      </c>
      <c r="Z82" s="297">
        <f t="shared" si="25"/>
        <v>100</v>
      </c>
      <c r="AC82" s="241"/>
      <c r="AD82" s="401">
        <f>[80]Aspal!$BN$29</f>
        <v>2200</v>
      </c>
      <c r="AE82" s="401"/>
      <c r="AF82" s="401"/>
      <c r="AG82" s="401">
        <f>'[80]Non Aspal'!$BW$38</f>
        <v>4800</v>
      </c>
      <c r="AH82" s="401">
        <f>[80]Aspal!$BH$26</f>
        <v>0</v>
      </c>
      <c r="AI82" s="401">
        <f>[80]Aspal!$BI$26</f>
        <v>400</v>
      </c>
      <c r="AJ82" s="401">
        <f>[80]Aspal!$BJ$26</f>
        <v>1000</v>
      </c>
      <c r="AK82" s="401">
        <f>[80]Aspal!$BK$26+'[80]Non Aspal'!$BU$39</f>
        <v>5600</v>
      </c>
    </row>
    <row r="83" spans="1:37" ht="20.100000000000001" customHeight="1" x14ac:dyDescent="0.2">
      <c r="A83" s="104"/>
      <c r="B83" s="298" t="s">
        <v>341</v>
      </c>
      <c r="C83" s="287">
        <v>72</v>
      </c>
      <c r="D83" s="292" t="s">
        <v>268</v>
      </c>
      <c r="E83" s="293"/>
      <c r="F83" s="294"/>
      <c r="G83" s="288" t="s">
        <v>353</v>
      </c>
      <c r="H83" s="289">
        <v>8</v>
      </c>
      <c r="I83" s="363">
        <v>3.5</v>
      </c>
      <c r="J83" s="309">
        <f t="shared" si="26"/>
        <v>77.5</v>
      </c>
      <c r="K83" s="371">
        <f t="shared" si="38"/>
        <v>6.2</v>
      </c>
      <c r="L83" s="290">
        <f t="shared" si="27"/>
        <v>0</v>
      </c>
      <c r="M83" s="290">
        <f t="shared" si="28"/>
        <v>0</v>
      </c>
      <c r="N83" s="308">
        <f t="shared" si="29"/>
        <v>22.5</v>
      </c>
      <c r="O83" s="381">
        <f t="shared" si="39"/>
        <v>1.8</v>
      </c>
      <c r="P83" s="309">
        <f t="shared" si="30"/>
        <v>0.15</v>
      </c>
      <c r="Q83" s="295">
        <f t="shared" si="34"/>
        <v>1.2</v>
      </c>
      <c r="R83" s="295">
        <f t="shared" si="31"/>
        <v>0.15</v>
      </c>
      <c r="S83" s="295">
        <f t="shared" si="35"/>
        <v>1.2</v>
      </c>
      <c r="T83" s="295">
        <f t="shared" si="32"/>
        <v>0.27500000000000002</v>
      </c>
      <c r="U83" s="295">
        <f t="shared" si="36"/>
        <v>2.2000000000000002</v>
      </c>
      <c r="V83" s="295">
        <f t="shared" si="33"/>
        <v>0.42499999999999999</v>
      </c>
      <c r="W83" s="308">
        <f t="shared" si="37"/>
        <v>3.4</v>
      </c>
      <c r="X83" s="314">
        <v>25</v>
      </c>
      <c r="Y83" s="315" t="s">
        <v>169</v>
      </c>
      <c r="Z83" s="297">
        <f t="shared" si="25"/>
        <v>100</v>
      </c>
      <c r="AC83" s="241"/>
      <c r="AD83" s="401">
        <f>[81]Aspal!$BN$49</f>
        <v>6200</v>
      </c>
      <c r="AE83" s="401"/>
      <c r="AF83" s="401"/>
      <c r="AG83" s="401">
        <f>'[81]Non Aspal'!$BW$23</f>
        <v>1800</v>
      </c>
      <c r="AH83" s="401">
        <f>[81]Aspal!$BH$46</f>
        <v>1200</v>
      </c>
      <c r="AI83" s="401">
        <f>[81]Aspal!$BI$46</f>
        <v>1200</v>
      </c>
      <c r="AJ83" s="401">
        <f>[81]Aspal!$BJ$46</f>
        <v>2200</v>
      </c>
      <c r="AK83" s="401">
        <f>[81]Aspal!$BK$46+'[81]Non Aspal'!$BU$24</f>
        <v>3400</v>
      </c>
    </row>
    <row r="84" spans="1:37" ht="20.100000000000001" customHeight="1" thickBot="1" x14ac:dyDescent="0.25">
      <c r="A84" s="104"/>
      <c r="B84" s="299" t="s">
        <v>342</v>
      </c>
      <c r="C84" s="300">
        <v>73</v>
      </c>
      <c r="D84" s="301" t="s">
        <v>269</v>
      </c>
      <c r="E84" s="302"/>
      <c r="F84" s="303"/>
      <c r="G84" s="304" t="s">
        <v>353</v>
      </c>
      <c r="H84" s="305">
        <v>4</v>
      </c>
      <c r="I84" s="364">
        <v>3.5</v>
      </c>
      <c r="J84" s="310">
        <f t="shared" si="26"/>
        <v>0</v>
      </c>
      <c r="K84" s="371">
        <f t="shared" si="38"/>
        <v>0</v>
      </c>
      <c r="L84" s="306">
        <f t="shared" si="27"/>
        <v>0</v>
      </c>
      <c r="M84" s="306">
        <f t="shared" si="28"/>
        <v>0</v>
      </c>
      <c r="N84" s="317">
        <f t="shared" si="29"/>
        <v>100</v>
      </c>
      <c r="O84" s="381">
        <f t="shared" si="39"/>
        <v>4</v>
      </c>
      <c r="P84" s="352">
        <f t="shared" si="30"/>
        <v>0</v>
      </c>
      <c r="Q84" s="306">
        <f t="shared" si="34"/>
        <v>0</v>
      </c>
      <c r="R84" s="306">
        <f t="shared" si="31"/>
        <v>0</v>
      </c>
      <c r="S84" s="306">
        <f t="shared" si="35"/>
        <v>0</v>
      </c>
      <c r="T84" s="306">
        <f t="shared" si="32"/>
        <v>0</v>
      </c>
      <c r="U84" s="306">
        <f t="shared" si="36"/>
        <v>0</v>
      </c>
      <c r="V84" s="306">
        <f t="shared" si="33"/>
        <v>1</v>
      </c>
      <c r="W84" s="317">
        <f t="shared" si="37"/>
        <v>4</v>
      </c>
      <c r="X84" s="313">
        <v>30</v>
      </c>
      <c r="Y84" s="307" t="s">
        <v>169</v>
      </c>
      <c r="Z84" s="316">
        <f t="shared" si="25"/>
        <v>100</v>
      </c>
      <c r="AC84" s="241"/>
      <c r="AD84" s="401"/>
      <c r="AE84" s="401"/>
      <c r="AF84" s="401"/>
      <c r="AG84" s="401">
        <f>'[82]Non Aspal'!$BW$34</f>
        <v>4000</v>
      </c>
      <c r="AH84" s="401"/>
      <c r="AI84" s="401"/>
      <c r="AJ84" s="401"/>
      <c r="AK84" s="401">
        <f>'[82]Non Aspal'!$BU$35</f>
        <v>4000</v>
      </c>
    </row>
    <row r="85" spans="1:37" ht="13.5" thickTop="1" x14ac:dyDescent="0.2">
      <c r="B85" s="333" t="s">
        <v>360</v>
      </c>
      <c r="C85" s="334"/>
      <c r="D85" s="335"/>
      <c r="E85" s="335"/>
      <c r="F85" s="335"/>
      <c r="G85" s="334"/>
      <c r="H85" s="339">
        <f>SUM(H12:H84)</f>
        <v>444.81</v>
      </c>
      <c r="I85" s="340"/>
      <c r="J85" s="339"/>
      <c r="K85" s="372">
        <f>SUM(K12:K84)</f>
        <v>367.61000000000007</v>
      </c>
      <c r="L85" s="339"/>
      <c r="M85" s="339"/>
      <c r="N85" s="339"/>
      <c r="O85" s="382">
        <f>SUM(O12:O84)</f>
        <v>77.199999999999989</v>
      </c>
      <c r="P85" s="353"/>
      <c r="Q85" s="357">
        <f>SUM(Q12:Q84)</f>
        <v>202.03</v>
      </c>
      <c r="R85" s="341"/>
      <c r="S85" s="357">
        <f>SUM(S12:S84)</f>
        <v>46.7</v>
      </c>
      <c r="T85" s="341"/>
      <c r="U85" s="357">
        <f>SUM(U12:U84)</f>
        <v>53.300000000000011</v>
      </c>
      <c r="V85" s="341"/>
      <c r="W85" s="357">
        <f>SUM(W12:W84)</f>
        <v>142.78000000000003</v>
      </c>
      <c r="X85" s="340"/>
      <c r="Y85" s="340"/>
      <c r="Z85" s="342"/>
      <c r="AA85" s="93"/>
      <c r="AD85" s="396"/>
      <c r="AE85" s="396"/>
      <c r="AF85" s="396"/>
      <c r="AG85" s="396"/>
      <c r="AH85" s="396"/>
      <c r="AI85" s="396"/>
      <c r="AJ85" s="396"/>
      <c r="AK85" s="396"/>
    </row>
    <row r="86" spans="1:37" ht="13.5" thickBot="1" x14ac:dyDescent="0.25">
      <c r="B86" s="336" t="s">
        <v>361</v>
      </c>
      <c r="C86" s="337"/>
      <c r="D86" s="338"/>
      <c r="E86" s="338"/>
      <c r="F86" s="338"/>
      <c r="G86" s="337"/>
      <c r="H86" s="343">
        <f>SUM(P86:W86)</f>
        <v>100</v>
      </c>
      <c r="I86" s="344"/>
      <c r="J86" s="344"/>
      <c r="K86" s="373"/>
      <c r="L86" s="344"/>
      <c r="M86" s="344"/>
      <c r="N86" s="344"/>
      <c r="O86" s="383"/>
      <c r="P86" s="354">
        <f>(Q85/$H$85)*100</f>
        <v>45.419392549627929</v>
      </c>
      <c r="Q86" s="358"/>
      <c r="R86" s="345">
        <f>(S85/$H$85)*100</f>
        <v>10.498864683797578</v>
      </c>
      <c r="S86" s="358"/>
      <c r="T86" s="345">
        <f>(U85/$H$85)*100</f>
        <v>11.982644275083747</v>
      </c>
      <c r="U86" s="358"/>
      <c r="V86" s="345">
        <f>(W85/$H$85)*100</f>
        <v>32.099098491490757</v>
      </c>
      <c r="W86" s="344"/>
      <c r="X86" s="344"/>
      <c r="Y86" s="344"/>
      <c r="Z86" s="346"/>
      <c r="AA86" s="93"/>
      <c r="AD86" s="396"/>
      <c r="AE86" s="396"/>
      <c r="AF86" s="396"/>
      <c r="AG86" s="396"/>
      <c r="AH86" s="396"/>
      <c r="AI86" s="396"/>
      <c r="AJ86" s="396"/>
      <c r="AK86" s="396"/>
    </row>
    <row r="87" spans="1:37" ht="14.25" thickTop="1" thickBot="1" x14ac:dyDescent="0.25">
      <c r="D87" s="141"/>
      <c r="E87" s="141"/>
      <c r="F87" s="141"/>
      <c r="G87" s="104"/>
      <c r="H87" s="319"/>
      <c r="AA87" s="93"/>
      <c r="AD87" s="396"/>
      <c r="AE87" s="396"/>
      <c r="AF87" s="396"/>
      <c r="AG87" s="396"/>
      <c r="AH87" s="396"/>
      <c r="AI87" s="396"/>
      <c r="AJ87" s="396"/>
      <c r="AK87" s="396"/>
    </row>
    <row r="88" spans="1:37" ht="12.75" customHeight="1" x14ac:dyDescent="0.3">
      <c r="D88" s="141"/>
      <c r="E88" s="141"/>
      <c r="F88" s="141"/>
      <c r="G88" s="104"/>
      <c r="H88" s="319"/>
      <c r="P88" s="384"/>
      <c r="Q88" s="385" t="s">
        <v>370</v>
      </c>
      <c r="R88" s="386"/>
      <c r="S88" s="387"/>
      <c r="AA88" s="93"/>
      <c r="AD88" s="396"/>
      <c r="AE88" s="396"/>
      <c r="AF88" s="396"/>
      <c r="AG88" s="396"/>
      <c r="AH88" s="396"/>
      <c r="AI88" s="396"/>
      <c r="AJ88" s="396"/>
      <c r="AK88" s="396"/>
    </row>
    <row r="89" spans="1:37" ht="12.75" customHeight="1" x14ac:dyDescent="0.3">
      <c r="D89" s="141"/>
      <c r="E89" s="141"/>
      <c r="F89" s="141"/>
      <c r="G89" s="104"/>
      <c r="H89" s="319"/>
      <c r="P89" s="392"/>
      <c r="Q89" s="393" t="s">
        <v>368</v>
      </c>
      <c r="R89" s="394">
        <f>P86+R86</f>
        <v>55.918257233425507</v>
      </c>
      <c r="S89" s="395" t="s">
        <v>160</v>
      </c>
      <c r="AA89" s="93"/>
      <c r="AD89" s="396"/>
      <c r="AE89" s="396"/>
      <c r="AF89" s="396"/>
      <c r="AG89" s="396"/>
      <c r="AH89" s="396"/>
      <c r="AI89" s="396"/>
      <c r="AJ89" s="396"/>
      <c r="AK89" s="396"/>
    </row>
    <row r="90" spans="1:37" ht="17.25" thickBot="1" x14ac:dyDescent="0.35">
      <c r="D90" s="141"/>
      <c r="E90" s="141"/>
      <c r="F90" s="141"/>
      <c r="G90" s="104"/>
      <c r="H90" s="319"/>
      <c r="P90" s="388"/>
      <c r="Q90" s="389" t="s">
        <v>369</v>
      </c>
      <c r="R90" s="390">
        <f>T86+V86</f>
        <v>44.081742766574507</v>
      </c>
      <c r="S90" s="391" t="s">
        <v>160</v>
      </c>
      <c r="AA90" s="93"/>
      <c r="AD90" s="396"/>
      <c r="AE90" s="396"/>
      <c r="AF90" s="396"/>
      <c r="AG90" s="396"/>
      <c r="AH90" s="396"/>
      <c r="AI90" s="396"/>
      <c r="AJ90" s="396"/>
      <c r="AK90" s="396"/>
    </row>
    <row r="91" spans="1:37" ht="12.75" x14ac:dyDescent="0.2">
      <c r="D91" s="141"/>
      <c r="E91" s="141"/>
      <c r="F91" s="141"/>
      <c r="G91" s="104"/>
      <c r="H91" s="319"/>
      <c r="AA91" s="93"/>
      <c r="AD91" s="396"/>
      <c r="AE91" s="396"/>
      <c r="AF91" s="396"/>
      <c r="AG91" s="396"/>
      <c r="AH91" s="396"/>
      <c r="AI91" s="396"/>
      <c r="AJ91" s="396"/>
      <c r="AK91" s="396"/>
    </row>
    <row r="92" spans="1:37" ht="12.75" x14ac:dyDescent="0.2">
      <c r="D92" s="141"/>
      <c r="E92" s="141"/>
      <c r="F92" s="141"/>
      <c r="G92" s="104"/>
      <c r="H92" s="319"/>
      <c r="AA92" s="93"/>
      <c r="AD92" s="396"/>
      <c r="AE92" s="396"/>
      <c r="AF92" s="396"/>
      <c r="AG92" s="396"/>
      <c r="AH92" s="396"/>
      <c r="AI92" s="396"/>
      <c r="AJ92" s="396"/>
      <c r="AK92" s="396"/>
    </row>
    <row r="93" spans="1:37" ht="12.75" x14ac:dyDescent="0.2">
      <c r="D93" s="141"/>
      <c r="E93" s="141"/>
      <c r="F93" s="141"/>
      <c r="G93" s="104"/>
      <c r="H93" s="319"/>
      <c r="AA93" s="93"/>
      <c r="AD93" s="396"/>
      <c r="AE93" s="396"/>
      <c r="AF93" s="396"/>
      <c r="AG93" s="396"/>
      <c r="AH93" s="396"/>
      <c r="AI93" s="396"/>
      <c r="AJ93" s="396"/>
      <c r="AK93" s="396"/>
    </row>
    <row r="94" spans="1:37" ht="12.75" x14ac:dyDescent="0.2">
      <c r="D94" s="141"/>
      <c r="E94" s="141"/>
      <c r="F94" s="141"/>
      <c r="G94" s="104"/>
      <c r="H94" s="319"/>
      <c r="AA94" s="93"/>
      <c r="AD94" s="396"/>
      <c r="AE94" s="396"/>
      <c r="AF94" s="396"/>
      <c r="AG94" s="396"/>
      <c r="AH94" s="396"/>
      <c r="AI94" s="396"/>
      <c r="AJ94" s="396"/>
      <c r="AK94" s="396"/>
    </row>
    <row r="95" spans="1:37" ht="12.75" x14ac:dyDescent="0.2">
      <c r="D95" s="141"/>
      <c r="E95" s="141"/>
      <c r="F95" s="141"/>
      <c r="G95" s="104"/>
      <c r="H95" s="319"/>
      <c r="AA95" s="93"/>
      <c r="AD95" s="171"/>
      <c r="AE95" s="171"/>
      <c r="AF95" s="171"/>
      <c r="AG95" s="171"/>
      <c r="AH95" s="402"/>
      <c r="AI95" s="402"/>
      <c r="AJ95" s="402"/>
      <c r="AK95" s="402"/>
    </row>
    <row r="96" spans="1:37" ht="12.75" x14ac:dyDescent="0.2">
      <c r="D96" s="141"/>
      <c r="E96" s="141"/>
      <c r="F96" s="141"/>
      <c r="G96" s="104"/>
      <c r="H96" s="319"/>
      <c r="AA96" s="93"/>
      <c r="AD96" s="171"/>
      <c r="AE96" s="171"/>
      <c r="AF96" s="171"/>
      <c r="AG96" s="171"/>
      <c r="AH96" s="402"/>
      <c r="AI96" s="402"/>
      <c r="AJ96" s="402"/>
      <c r="AK96" s="402"/>
    </row>
    <row r="97" spans="4:37" ht="12.75" x14ac:dyDescent="0.2">
      <c r="D97" s="141"/>
      <c r="E97" s="141"/>
      <c r="F97" s="141"/>
      <c r="G97" s="104"/>
      <c r="H97" s="319"/>
      <c r="AA97" s="93"/>
      <c r="AD97" s="171"/>
      <c r="AE97" s="171"/>
      <c r="AF97" s="171"/>
      <c r="AG97" s="171"/>
      <c r="AH97" s="402"/>
      <c r="AI97" s="402"/>
      <c r="AJ97" s="402"/>
      <c r="AK97" s="402"/>
    </row>
    <row r="98" spans="4:37" ht="12.75" x14ac:dyDescent="0.2">
      <c r="D98" s="141"/>
      <c r="E98" s="141"/>
      <c r="F98" s="141"/>
      <c r="G98" s="104"/>
      <c r="K98" s="375">
        <f>K85+O85</f>
        <v>444.81000000000006</v>
      </c>
      <c r="O98" s="375"/>
      <c r="T98" s="347"/>
      <c r="AA98" s="93"/>
      <c r="AD98" s="171"/>
      <c r="AE98" s="171"/>
      <c r="AF98" s="171"/>
      <c r="AG98" s="171"/>
      <c r="AH98" s="402"/>
      <c r="AI98" s="402"/>
      <c r="AJ98" s="402"/>
      <c r="AK98" s="402"/>
    </row>
    <row r="99" spans="4:37" ht="12.75" x14ac:dyDescent="0.2">
      <c r="D99" s="141"/>
      <c r="E99" s="141"/>
      <c r="F99" s="141"/>
      <c r="G99" s="104"/>
      <c r="N99" s="319"/>
      <c r="T99" s="347" t="s">
        <v>365</v>
      </c>
      <c r="AA99" s="93"/>
      <c r="AD99" s="171"/>
      <c r="AE99" s="171"/>
      <c r="AF99" s="171"/>
      <c r="AG99" s="171"/>
      <c r="AH99" s="402"/>
      <c r="AI99" s="402"/>
      <c r="AJ99" s="402"/>
      <c r="AK99" s="402"/>
    </row>
    <row r="100" spans="4:37" ht="12.75" x14ac:dyDescent="0.2">
      <c r="D100" s="141"/>
      <c r="E100" s="141"/>
      <c r="F100" s="141"/>
      <c r="G100" s="104"/>
      <c r="T100" s="347" t="s">
        <v>362</v>
      </c>
      <c r="AA100" s="93"/>
      <c r="AD100" s="171"/>
      <c r="AE100" s="171"/>
      <c r="AF100" s="171"/>
      <c r="AG100" s="171"/>
      <c r="AH100" s="402"/>
      <c r="AI100" s="402"/>
      <c r="AJ100" s="402"/>
      <c r="AK100" s="402"/>
    </row>
    <row r="101" spans="4:37" ht="12.75" x14ac:dyDescent="0.2">
      <c r="D101" s="141"/>
      <c r="E101" s="141"/>
      <c r="F101" s="141"/>
      <c r="G101" s="104"/>
      <c r="T101" s="347" t="s">
        <v>363</v>
      </c>
      <c r="AA101" s="93"/>
      <c r="AD101" s="171"/>
      <c r="AE101" s="171"/>
      <c r="AF101" s="171"/>
      <c r="AG101" s="171"/>
      <c r="AH101" s="402"/>
      <c r="AI101" s="402"/>
      <c r="AJ101" s="402"/>
      <c r="AK101" s="402"/>
    </row>
    <row r="102" spans="4:37" ht="12.75" x14ac:dyDescent="0.2">
      <c r="D102" s="141"/>
      <c r="E102" s="141"/>
      <c r="F102" s="141"/>
      <c r="G102" s="104"/>
      <c r="T102" s="347"/>
      <c r="AA102" s="93"/>
      <c r="AD102" s="171"/>
      <c r="AE102" s="171"/>
      <c r="AF102" s="171"/>
      <c r="AG102" s="171"/>
      <c r="AH102" s="402"/>
      <c r="AI102" s="402"/>
      <c r="AJ102" s="402"/>
      <c r="AK102" s="402"/>
    </row>
    <row r="103" spans="4:37" ht="12.75" x14ac:dyDescent="0.2">
      <c r="D103" s="141"/>
      <c r="E103" s="141"/>
      <c r="F103" s="141"/>
      <c r="G103" s="104"/>
      <c r="T103" s="102"/>
      <c r="AA103" s="93"/>
      <c r="AD103" s="171"/>
      <c r="AE103" s="171"/>
      <c r="AF103" s="171"/>
      <c r="AG103" s="171"/>
      <c r="AH103" s="402"/>
      <c r="AI103" s="402"/>
      <c r="AJ103" s="402"/>
      <c r="AK103" s="402"/>
    </row>
    <row r="104" spans="4:37" ht="12.75" x14ac:dyDescent="0.2">
      <c r="D104" s="141"/>
      <c r="E104" s="141"/>
      <c r="F104" s="141"/>
      <c r="G104" s="104"/>
      <c r="T104" s="102"/>
      <c r="AA104" s="93"/>
      <c r="AD104" s="171"/>
      <c r="AE104" s="171"/>
      <c r="AF104" s="171"/>
      <c r="AG104" s="171"/>
      <c r="AH104" s="402"/>
      <c r="AI104" s="402"/>
      <c r="AJ104" s="402"/>
      <c r="AK104" s="402"/>
    </row>
    <row r="105" spans="4:37" ht="12.75" x14ac:dyDescent="0.2">
      <c r="D105" s="141"/>
      <c r="E105" s="141"/>
      <c r="F105" s="141"/>
      <c r="G105" s="104"/>
      <c r="T105" s="102"/>
      <c r="AA105" s="93"/>
      <c r="AD105" s="171"/>
      <c r="AE105" s="171"/>
      <c r="AF105" s="171"/>
      <c r="AG105" s="171"/>
      <c r="AH105" s="402"/>
      <c r="AI105" s="402"/>
      <c r="AJ105" s="402"/>
      <c r="AK105" s="402"/>
    </row>
    <row r="106" spans="4:37" ht="12.75" x14ac:dyDescent="0.2">
      <c r="D106" s="141"/>
      <c r="E106" s="141"/>
      <c r="F106" s="141"/>
      <c r="G106" s="104"/>
      <c r="T106" s="348" t="s">
        <v>366</v>
      </c>
      <c r="AA106" s="93"/>
      <c r="AD106" s="171"/>
      <c r="AE106" s="171"/>
      <c r="AF106" s="171"/>
      <c r="AG106" s="171"/>
      <c r="AH106" s="402"/>
      <c r="AI106" s="402"/>
      <c r="AJ106" s="402"/>
      <c r="AK106" s="402"/>
    </row>
    <row r="107" spans="4:37" ht="12.75" x14ac:dyDescent="0.2">
      <c r="D107" s="141"/>
      <c r="E107" s="141"/>
      <c r="F107" s="141"/>
      <c r="G107" s="104"/>
      <c r="T107" s="143" t="s">
        <v>367</v>
      </c>
      <c r="AA107" s="93"/>
      <c r="AD107" s="171"/>
      <c r="AE107" s="171"/>
      <c r="AF107" s="171"/>
      <c r="AG107" s="171"/>
      <c r="AH107" s="402"/>
      <c r="AI107" s="402"/>
      <c r="AJ107" s="402"/>
      <c r="AK107" s="402"/>
    </row>
    <row r="108" spans="4:37" ht="12.75" x14ac:dyDescent="0.2">
      <c r="D108" s="141"/>
      <c r="E108" s="141"/>
      <c r="F108" s="141"/>
      <c r="G108" s="104"/>
      <c r="AA108" s="93"/>
      <c r="AD108" s="171"/>
      <c r="AE108" s="171"/>
      <c r="AF108" s="171"/>
      <c r="AG108" s="171"/>
      <c r="AH108" s="402"/>
      <c r="AI108" s="402"/>
      <c r="AJ108" s="402"/>
      <c r="AK108" s="402"/>
    </row>
    <row r="109" spans="4:37" ht="12.75" x14ac:dyDescent="0.2">
      <c r="D109" s="141"/>
      <c r="E109" s="141"/>
      <c r="F109" s="141"/>
      <c r="G109" s="104"/>
      <c r="L109" s="171"/>
      <c r="M109" s="171"/>
      <c r="N109" s="403" t="s">
        <v>50</v>
      </c>
      <c r="O109" s="404"/>
      <c r="P109" s="171" t="s">
        <v>357</v>
      </c>
      <c r="Q109" s="405">
        <f>P86+R86</f>
        <v>55.918257233425507</v>
      </c>
      <c r="R109" s="171"/>
      <c r="S109" s="171"/>
      <c r="T109" s="171"/>
      <c r="U109" s="171"/>
      <c r="V109" s="171"/>
      <c r="W109" s="171"/>
      <c r="X109" s="171"/>
      <c r="Y109" s="171"/>
      <c r="AA109" s="93"/>
      <c r="AD109" s="171"/>
      <c r="AE109" s="171"/>
      <c r="AF109" s="171"/>
      <c r="AG109" s="171"/>
      <c r="AH109" s="402"/>
      <c r="AI109" s="402"/>
      <c r="AJ109" s="402"/>
      <c r="AK109" s="402"/>
    </row>
    <row r="110" spans="4:37" ht="12.75" x14ac:dyDescent="0.2">
      <c r="D110" s="141"/>
      <c r="E110" s="141"/>
      <c r="F110" s="141"/>
      <c r="G110" s="104"/>
      <c r="L110" s="171"/>
      <c r="M110" s="171"/>
      <c r="N110" s="403" t="s">
        <v>51</v>
      </c>
      <c r="O110" s="404"/>
      <c r="P110" s="171" t="s">
        <v>357</v>
      </c>
      <c r="Q110" s="405">
        <f>SUM(T86,V86)</f>
        <v>44.081742766574507</v>
      </c>
      <c r="R110" s="171"/>
      <c r="S110" s="171"/>
      <c r="T110" s="171" t="s">
        <v>359</v>
      </c>
      <c r="U110" s="406">
        <f>SUM(Q85,S85)</f>
        <v>248.73000000000002</v>
      </c>
      <c r="V110" s="407">
        <f>[83]DD2020!$S$93</f>
        <v>0</v>
      </c>
      <c r="W110" s="408">
        <f>U110-V110</f>
        <v>248.73000000000002</v>
      </c>
      <c r="X110" s="171"/>
      <c r="Y110" s="171"/>
      <c r="AA110" s="93"/>
      <c r="AD110" s="171"/>
      <c r="AE110" s="171"/>
      <c r="AF110" s="171"/>
      <c r="AG110" s="171"/>
      <c r="AH110" s="402"/>
      <c r="AI110" s="402"/>
      <c r="AJ110" s="402"/>
      <c r="AK110" s="402"/>
    </row>
    <row r="111" spans="4:37" ht="12.75" x14ac:dyDescent="0.2">
      <c r="D111" s="141"/>
      <c r="E111" s="141"/>
      <c r="F111" s="141"/>
      <c r="G111" s="104"/>
      <c r="L111" s="171"/>
      <c r="M111" s="171"/>
      <c r="N111" s="403" t="s">
        <v>356</v>
      </c>
      <c r="O111" s="404"/>
      <c r="P111" s="171" t="s">
        <v>357</v>
      </c>
      <c r="Q111" s="405">
        <v>53.53746543467998</v>
      </c>
      <c r="R111" s="171"/>
      <c r="S111" s="171"/>
      <c r="T111" s="171"/>
      <c r="U111" s="406"/>
      <c r="V111" s="407"/>
      <c r="W111" s="406"/>
      <c r="X111" s="171"/>
      <c r="Y111" s="171"/>
      <c r="AA111" s="93"/>
      <c r="AD111" s="171"/>
      <c r="AE111" s="171"/>
      <c r="AF111" s="171"/>
      <c r="AG111" s="171"/>
      <c r="AH111" s="402"/>
      <c r="AI111" s="402"/>
      <c r="AJ111" s="402"/>
      <c r="AK111" s="402"/>
    </row>
    <row r="112" spans="4:37" ht="12.75" x14ac:dyDescent="0.2">
      <c r="D112" s="141"/>
      <c r="E112" s="141"/>
      <c r="F112" s="141"/>
      <c r="G112" s="104"/>
      <c r="L112" s="171"/>
      <c r="M112" s="171"/>
      <c r="N112" s="403"/>
      <c r="O112" s="404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AA112" s="93"/>
      <c r="AD112" s="171"/>
      <c r="AE112" s="171"/>
      <c r="AF112" s="171"/>
      <c r="AG112" s="171"/>
      <c r="AH112" s="402"/>
      <c r="AI112" s="402"/>
      <c r="AJ112" s="402"/>
      <c r="AK112" s="402"/>
    </row>
    <row r="113" spans="4:37" ht="12.75" x14ac:dyDescent="0.2">
      <c r="D113" s="141"/>
      <c r="E113" s="141"/>
      <c r="F113" s="141"/>
      <c r="G113" s="104"/>
      <c r="L113" s="171"/>
      <c r="M113" s="171"/>
      <c r="N113" s="403" t="s">
        <v>364</v>
      </c>
      <c r="O113" s="409"/>
      <c r="P113" s="171" t="s">
        <v>357</v>
      </c>
      <c r="Q113" s="410">
        <f>Q109-Q111</f>
        <v>2.3807917987455269</v>
      </c>
      <c r="R113" s="171"/>
      <c r="S113" s="171"/>
      <c r="T113" s="171"/>
      <c r="U113" s="171"/>
      <c r="V113" s="171"/>
      <c r="W113" s="171"/>
      <c r="X113" s="171"/>
      <c r="Y113" s="171"/>
      <c r="AA113" s="93"/>
      <c r="AD113" s="171"/>
      <c r="AE113" s="171"/>
      <c r="AF113" s="171"/>
      <c r="AG113" s="171"/>
      <c r="AH113" s="402"/>
      <c r="AI113" s="402"/>
      <c r="AJ113" s="402"/>
      <c r="AK113" s="402"/>
    </row>
    <row r="114" spans="4:37" ht="12.75" x14ac:dyDescent="0.2">
      <c r="D114" s="141"/>
      <c r="E114" s="141"/>
      <c r="F114" s="141"/>
      <c r="G114" s="104"/>
      <c r="L114" s="171"/>
      <c r="M114" s="171"/>
      <c r="N114" s="171"/>
      <c r="O114" s="409"/>
      <c r="P114" s="171"/>
      <c r="Q114" s="411"/>
      <c r="R114" s="171"/>
      <c r="S114" s="171"/>
      <c r="T114" s="171"/>
      <c r="U114" s="171"/>
      <c r="V114" s="171"/>
      <c r="W114" s="171"/>
      <c r="X114" s="171"/>
      <c r="Y114" s="171"/>
      <c r="AA114" s="93"/>
      <c r="AD114" s="171"/>
      <c r="AE114" s="171"/>
      <c r="AF114" s="171"/>
      <c r="AG114" s="171"/>
      <c r="AH114" s="402"/>
      <c r="AI114" s="402"/>
      <c r="AJ114" s="402"/>
      <c r="AK114" s="402"/>
    </row>
    <row r="115" spans="4:37" ht="12.75" x14ac:dyDescent="0.2">
      <c r="D115" s="141"/>
      <c r="E115" s="141"/>
      <c r="F115" s="141"/>
      <c r="G115" s="104"/>
      <c r="Q115" s="168"/>
      <c r="S115" s="359"/>
      <c r="U115" s="168"/>
      <c r="W115" s="168"/>
      <c r="AA115" s="93"/>
      <c r="AD115" s="171"/>
      <c r="AE115" s="171"/>
      <c r="AF115" s="171"/>
      <c r="AG115" s="171"/>
      <c r="AH115" s="402"/>
      <c r="AI115" s="402"/>
      <c r="AJ115" s="402"/>
      <c r="AK115" s="402"/>
    </row>
    <row r="116" spans="4:37" ht="12.75" x14ac:dyDescent="0.2">
      <c r="D116" s="141"/>
      <c r="E116" s="141"/>
      <c r="F116" s="141"/>
      <c r="G116" s="104"/>
      <c r="AA116" s="93"/>
      <c r="AD116" s="171"/>
      <c r="AE116" s="171"/>
      <c r="AF116" s="171"/>
      <c r="AG116" s="171"/>
      <c r="AH116" s="402"/>
      <c r="AI116" s="402"/>
      <c r="AJ116" s="402"/>
      <c r="AK116" s="402"/>
    </row>
    <row r="117" spans="4:37" ht="12.75" x14ac:dyDescent="0.2">
      <c r="D117" s="141"/>
      <c r="E117" s="141"/>
      <c r="F117" s="141"/>
      <c r="G117" s="104"/>
      <c r="AA117" s="93"/>
      <c r="AD117" s="171"/>
      <c r="AE117" s="171"/>
      <c r="AF117" s="171"/>
      <c r="AG117" s="171"/>
      <c r="AH117" s="402"/>
      <c r="AI117" s="402"/>
      <c r="AJ117" s="402"/>
      <c r="AK117" s="402"/>
    </row>
    <row r="118" spans="4:37" ht="12.75" x14ac:dyDescent="0.2">
      <c r="D118" s="141"/>
      <c r="E118" s="141"/>
      <c r="F118" s="141"/>
      <c r="G118" s="104"/>
      <c r="AA118" s="93"/>
      <c r="AD118" s="171"/>
      <c r="AE118" s="171"/>
      <c r="AF118" s="171"/>
      <c r="AG118" s="171"/>
      <c r="AH118" s="402"/>
      <c r="AI118" s="402"/>
      <c r="AJ118" s="402"/>
      <c r="AK118" s="402"/>
    </row>
    <row r="119" spans="4:37" ht="12.75" x14ac:dyDescent="0.2">
      <c r="D119" s="141"/>
      <c r="E119" s="141"/>
      <c r="F119" s="141"/>
      <c r="G119" s="104"/>
      <c r="AA119" s="93"/>
      <c r="AD119" s="171"/>
      <c r="AE119" s="171"/>
      <c r="AF119" s="171"/>
      <c r="AG119" s="171"/>
      <c r="AH119" s="402"/>
      <c r="AI119" s="402"/>
      <c r="AJ119" s="402"/>
      <c r="AK119" s="402"/>
    </row>
    <row r="120" spans="4:37" ht="12.75" x14ac:dyDescent="0.2">
      <c r="D120" s="141"/>
      <c r="E120" s="141"/>
      <c r="F120" s="141"/>
      <c r="G120" s="104"/>
      <c r="N120" s="168"/>
      <c r="O120" s="375"/>
      <c r="AA120" s="93"/>
      <c r="AD120" s="171"/>
      <c r="AE120" s="171"/>
      <c r="AF120" s="171"/>
      <c r="AG120" s="171"/>
      <c r="AH120" s="402"/>
      <c r="AI120" s="402"/>
      <c r="AJ120" s="402"/>
      <c r="AK120" s="402"/>
    </row>
    <row r="121" spans="4:37" ht="12.75" x14ac:dyDescent="0.2">
      <c r="D121" s="141"/>
      <c r="E121" s="141"/>
      <c r="F121" s="141"/>
      <c r="G121" s="104"/>
      <c r="AA121" s="93"/>
      <c r="AD121" s="171"/>
      <c r="AE121" s="171"/>
      <c r="AF121" s="171"/>
      <c r="AG121" s="171"/>
      <c r="AH121" s="402"/>
      <c r="AI121" s="402"/>
      <c r="AJ121" s="402"/>
      <c r="AK121" s="402"/>
    </row>
    <row r="122" spans="4:37" ht="12.75" x14ac:dyDescent="0.2">
      <c r="D122" s="141"/>
      <c r="E122" s="141"/>
      <c r="F122" s="141"/>
      <c r="G122" s="104"/>
      <c r="AA122" s="93"/>
      <c r="AD122" s="171"/>
      <c r="AE122" s="171"/>
      <c r="AF122" s="171"/>
      <c r="AG122" s="171"/>
      <c r="AH122" s="402"/>
      <c r="AI122" s="402"/>
      <c r="AJ122" s="402"/>
      <c r="AK122" s="402"/>
    </row>
    <row r="123" spans="4:37" ht="12.75" x14ac:dyDescent="0.2">
      <c r="D123" s="141"/>
      <c r="E123" s="141"/>
      <c r="F123" s="141"/>
      <c r="G123" s="104"/>
      <c r="AA123" s="93"/>
      <c r="AD123" s="171"/>
      <c r="AE123" s="171"/>
      <c r="AF123" s="171"/>
      <c r="AG123" s="171"/>
      <c r="AH123" s="402"/>
      <c r="AI123" s="402"/>
      <c r="AJ123" s="402"/>
      <c r="AK123" s="402"/>
    </row>
    <row r="124" spans="4:37" ht="12.75" x14ac:dyDescent="0.2">
      <c r="D124" s="142"/>
      <c r="E124" s="142"/>
      <c r="F124" s="142"/>
      <c r="AA124" s="93"/>
      <c r="AD124" s="171"/>
      <c r="AE124" s="171"/>
      <c r="AF124" s="171"/>
      <c r="AG124" s="171"/>
      <c r="AH124" s="402"/>
      <c r="AI124" s="402"/>
      <c r="AJ124" s="402"/>
      <c r="AK124" s="402"/>
    </row>
    <row r="125" spans="4:37" ht="12.75" x14ac:dyDescent="0.2">
      <c r="D125" s="142"/>
      <c r="E125" s="142"/>
      <c r="F125" s="142"/>
      <c r="AA125" s="93"/>
      <c r="AD125" s="171"/>
      <c r="AE125" s="171"/>
      <c r="AF125" s="171"/>
      <c r="AG125" s="171"/>
      <c r="AH125" s="402"/>
      <c r="AI125" s="402"/>
      <c r="AJ125" s="402"/>
      <c r="AK125" s="402"/>
    </row>
    <row r="126" spans="4:37" ht="12.75" x14ac:dyDescent="0.2">
      <c r="D126" s="142"/>
      <c r="E126" s="142"/>
      <c r="F126" s="142"/>
      <c r="AA126" s="93"/>
      <c r="AD126" s="171"/>
      <c r="AE126" s="171"/>
      <c r="AF126" s="171"/>
      <c r="AG126" s="171"/>
      <c r="AH126" s="402"/>
      <c r="AI126" s="402"/>
      <c r="AJ126" s="402"/>
      <c r="AK126" s="402"/>
    </row>
    <row r="127" spans="4:37" ht="12.75" x14ac:dyDescent="0.2">
      <c r="D127" s="142"/>
      <c r="E127" s="142"/>
      <c r="F127" s="142"/>
      <c r="AA127" s="93"/>
      <c r="AD127" s="171"/>
      <c r="AE127" s="171"/>
      <c r="AF127" s="171"/>
      <c r="AG127" s="171"/>
      <c r="AH127" s="402"/>
      <c r="AI127" s="402"/>
      <c r="AJ127" s="402"/>
      <c r="AK127" s="402"/>
    </row>
    <row r="128" spans="4:37" ht="12.75" x14ac:dyDescent="0.2">
      <c r="D128" s="142"/>
      <c r="E128" s="142"/>
      <c r="F128" s="142"/>
      <c r="AD128" s="171"/>
      <c r="AE128" s="171"/>
      <c r="AF128" s="171"/>
      <c r="AG128" s="171"/>
      <c r="AH128" s="402"/>
      <c r="AI128" s="402"/>
      <c r="AJ128" s="402"/>
      <c r="AK128" s="402"/>
    </row>
    <row r="129" spans="4:37" ht="12.75" x14ac:dyDescent="0.2">
      <c r="D129" s="142"/>
      <c r="E129" s="142"/>
      <c r="F129" s="142"/>
      <c r="AD129" s="171"/>
      <c r="AE129" s="171"/>
      <c r="AF129" s="171"/>
      <c r="AG129" s="171"/>
      <c r="AH129" s="402"/>
      <c r="AI129" s="402"/>
      <c r="AJ129" s="402"/>
      <c r="AK129" s="402"/>
    </row>
    <row r="130" spans="4:37" ht="12.75" x14ac:dyDescent="0.2">
      <c r="D130" s="142"/>
      <c r="E130" s="142"/>
      <c r="F130" s="142"/>
      <c r="AD130" s="171"/>
      <c r="AE130" s="171"/>
      <c r="AF130" s="171"/>
      <c r="AG130" s="171"/>
      <c r="AH130" s="402"/>
      <c r="AI130" s="402"/>
      <c r="AJ130" s="402"/>
      <c r="AK130" s="402"/>
    </row>
    <row r="131" spans="4:37" ht="12.75" x14ac:dyDescent="0.2">
      <c r="D131" s="142"/>
      <c r="E131" s="142"/>
      <c r="F131" s="142"/>
      <c r="AD131" s="171"/>
      <c r="AE131" s="171"/>
      <c r="AF131" s="171"/>
      <c r="AG131" s="171"/>
      <c r="AH131" s="402"/>
      <c r="AI131" s="402"/>
      <c r="AJ131" s="402"/>
      <c r="AK131" s="402"/>
    </row>
    <row r="132" spans="4:37" ht="12.75" x14ac:dyDescent="0.2">
      <c r="D132" s="142"/>
      <c r="E132" s="142"/>
      <c r="F132" s="142"/>
      <c r="AD132" s="171"/>
      <c r="AE132" s="171"/>
      <c r="AF132" s="171"/>
      <c r="AG132" s="171"/>
      <c r="AH132" s="402"/>
      <c r="AI132" s="402"/>
      <c r="AJ132" s="402"/>
      <c r="AK132" s="402"/>
    </row>
    <row r="133" spans="4:37" ht="12.75" x14ac:dyDescent="0.2">
      <c r="D133" s="142"/>
      <c r="E133" s="142"/>
      <c r="F133" s="142"/>
      <c r="AD133" s="171"/>
      <c r="AE133" s="171"/>
      <c r="AF133" s="171"/>
      <c r="AG133" s="171"/>
      <c r="AH133" s="402"/>
      <c r="AI133" s="402"/>
      <c r="AJ133" s="402"/>
      <c r="AK133" s="402"/>
    </row>
    <row r="134" spans="4:37" ht="12.75" x14ac:dyDescent="0.2">
      <c r="D134" s="142"/>
      <c r="E134" s="142"/>
      <c r="F134" s="142"/>
      <c r="AD134" s="171"/>
      <c r="AE134" s="171"/>
      <c r="AF134" s="171"/>
      <c r="AG134" s="171"/>
      <c r="AH134" s="402"/>
      <c r="AI134" s="402"/>
      <c r="AJ134" s="402"/>
      <c r="AK134" s="402"/>
    </row>
    <row r="135" spans="4:37" ht="12.75" x14ac:dyDescent="0.2">
      <c r="D135" s="142"/>
      <c r="E135" s="142"/>
      <c r="F135" s="142"/>
      <c r="AD135" s="171"/>
      <c r="AE135" s="171"/>
      <c r="AF135" s="171"/>
      <c r="AG135" s="171"/>
      <c r="AH135" s="402"/>
      <c r="AI135" s="402"/>
      <c r="AJ135" s="402"/>
      <c r="AK135" s="402"/>
    </row>
    <row r="136" spans="4:37" ht="12.75" x14ac:dyDescent="0.2">
      <c r="D136" s="142"/>
      <c r="E136" s="142"/>
      <c r="F136" s="142"/>
      <c r="AD136" s="171"/>
      <c r="AE136" s="171"/>
      <c r="AF136" s="171"/>
      <c r="AG136" s="171"/>
      <c r="AH136" s="402"/>
      <c r="AI136" s="402"/>
      <c r="AJ136" s="402"/>
      <c r="AK136" s="402"/>
    </row>
    <row r="137" spans="4:37" ht="12.75" x14ac:dyDescent="0.2">
      <c r="D137" s="142"/>
      <c r="E137" s="142"/>
      <c r="F137" s="142"/>
      <c r="AD137" s="171"/>
      <c r="AE137" s="171"/>
      <c r="AF137" s="171"/>
      <c r="AG137" s="171"/>
      <c r="AH137" s="402"/>
      <c r="AI137" s="402"/>
      <c r="AJ137" s="402"/>
      <c r="AK137" s="402"/>
    </row>
    <row r="138" spans="4:37" ht="12.75" x14ac:dyDescent="0.2">
      <c r="D138" s="142"/>
      <c r="E138" s="142"/>
      <c r="F138" s="142"/>
      <c r="AD138" s="171"/>
      <c r="AE138" s="171"/>
      <c r="AF138" s="171"/>
      <c r="AG138" s="171"/>
      <c r="AH138" s="402"/>
      <c r="AI138" s="402"/>
      <c r="AJ138" s="402"/>
      <c r="AK138" s="402"/>
    </row>
    <row r="139" spans="4:37" ht="12.75" x14ac:dyDescent="0.2">
      <c r="D139" s="142"/>
      <c r="E139" s="142"/>
      <c r="F139" s="142"/>
      <c r="AD139" s="171"/>
      <c r="AE139" s="171"/>
      <c r="AF139" s="171"/>
      <c r="AG139" s="171"/>
      <c r="AH139" s="402"/>
      <c r="AI139" s="402"/>
      <c r="AJ139" s="402"/>
      <c r="AK139" s="402"/>
    </row>
    <row r="140" spans="4:37" ht="12.75" x14ac:dyDescent="0.2">
      <c r="D140" s="142"/>
      <c r="E140" s="142"/>
      <c r="F140" s="142"/>
      <c r="AD140" s="171"/>
      <c r="AE140" s="171"/>
      <c r="AF140" s="171"/>
      <c r="AG140" s="171"/>
      <c r="AH140" s="402"/>
      <c r="AI140" s="402"/>
      <c r="AJ140" s="402"/>
      <c r="AK140" s="402"/>
    </row>
    <row r="141" spans="4:37" ht="12.75" x14ac:dyDescent="0.2">
      <c r="D141" s="142"/>
      <c r="E141" s="142"/>
      <c r="F141" s="142"/>
      <c r="AD141" s="171"/>
      <c r="AE141" s="171"/>
      <c r="AF141" s="171"/>
      <c r="AG141" s="171"/>
      <c r="AH141" s="402"/>
      <c r="AI141" s="402"/>
      <c r="AJ141" s="402"/>
      <c r="AK141" s="402"/>
    </row>
    <row r="142" spans="4:37" ht="12.75" x14ac:dyDescent="0.2">
      <c r="D142" s="142"/>
      <c r="E142" s="142"/>
      <c r="F142" s="142"/>
      <c r="AD142" s="171"/>
      <c r="AE142" s="171"/>
      <c r="AF142" s="171"/>
      <c r="AG142" s="171"/>
      <c r="AH142" s="402"/>
      <c r="AI142" s="402"/>
      <c r="AJ142" s="402"/>
      <c r="AK142" s="402"/>
    </row>
    <row r="143" spans="4:37" ht="12.75" x14ac:dyDescent="0.2">
      <c r="D143" s="142"/>
      <c r="E143" s="142"/>
      <c r="F143" s="142"/>
      <c r="AD143" s="171"/>
      <c r="AE143" s="171"/>
      <c r="AF143" s="171"/>
      <c r="AG143" s="171"/>
      <c r="AH143" s="402"/>
      <c r="AI143" s="402"/>
      <c r="AJ143" s="402"/>
      <c r="AK143" s="402"/>
    </row>
    <row r="144" spans="4:37" ht="12.75" x14ac:dyDescent="0.2">
      <c r="D144" s="142"/>
      <c r="E144" s="142"/>
      <c r="F144" s="142"/>
      <c r="AD144" s="171"/>
      <c r="AE144" s="171"/>
      <c r="AF144" s="171"/>
      <c r="AG144" s="171"/>
      <c r="AH144" s="402"/>
      <c r="AI144" s="402"/>
      <c r="AJ144" s="402"/>
      <c r="AK144" s="402"/>
    </row>
    <row r="145" spans="4:37" ht="12.75" x14ac:dyDescent="0.2">
      <c r="D145" s="142"/>
      <c r="E145" s="142"/>
      <c r="F145" s="142"/>
      <c r="AD145" s="171"/>
      <c r="AE145" s="171"/>
      <c r="AF145" s="171"/>
      <c r="AG145" s="171"/>
      <c r="AH145" s="402"/>
      <c r="AI145" s="402"/>
      <c r="AJ145" s="402"/>
      <c r="AK145" s="402"/>
    </row>
    <row r="146" spans="4:37" ht="12.75" x14ac:dyDescent="0.2">
      <c r="D146" s="142"/>
      <c r="E146" s="142"/>
      <c r="F146" s="142"/>
      <c r="AD146" s="171"/>
      <c r="AE146" s="171"/>
      <c r="AF146" s="171"/>
      <c r="AG146" s="171"/>
      <c r="AH146" s="402"/>
      <c r="AI146" s="402"/>
      <c r="AJ146" s="402"/>
      <c r="AK146" s="402"/>
    </row>
    <row r="147" spans="4:37" ht="12.75" x14ac:dyDescent="0.2">
      <c r="D147" s="142"/>
      <c r="E147" s="142"/>
      <c r="F147" s="142"/>
      <c r="AD147" s="171"/>
      <c r="AE147" s="171"/>
      <c r="AF147" s="171"/>
      <c r="AG147" s="171"/>
      <c r="AH147" s="402"/>
      <c r="AI147" s="402"/>
      <c r="AJ147" s="402"/>
      <c r="AK147" s="402"/>
    </row>
    <row r="148" spans="4:37" ht="12.75" x14ac:dyDescent="0.2">
      <c r="D148" s="142"/>
      <c r="E148" s="142"/>
      <c r="F148" s="142"/>
      <c r="AD148" s="171"/>
      <c r="AE148" s="171"/>
      <c r="AF148" s="171"/>
      <c r="AG148" s="171"/>
      <c r="AH148" s="402"/>
      <c r="AI148" s="402"/>
      <c r="AJ148" s="402"/>
      <c r="AK148" s="402"/>
    </row>
    <row r="149" spans="4:37" ht="12.75" x14ac:dyDescent="0.2">
      <c r="D149" s="142"/>
      <c r="E149" s="142"/>
      <c r="F149" s="142"/>
      <c r="AD149" s="171"/>
      <c r="AE149" s="171"/>
      <c r="AF149" s="171"/>
      <c r="AG149" s="171"/>
      <c r="AH149" s="402"/>
      <c r="AI149" s="402"/>
      <c r="AJ149" s="402"/>
      <c r="AK149" s="402"/>
    </row>
    <row r="150" spans="4:37" ht="12.75" x14ac:dyDescent="0.2">
      <c r="D150" s="142"/>
      <c r="E150" s="142"/>
      <c r="F150" s="142"/>
      <c r="AD150" s="171"/>
      <c r="AE150" s="171"/>
      <c r="AF150" s="171"/>
      <c r="AG150" s="171"/>
      <c r="AH150" s="402"/>
      <c r="AI150" s="402"/>
      <c r="AJ150" s="402"/>
      <c r="AK150" s="402"/>
    </row>
    <row r="151" spans="4:37" ht="12.75" x14ac:dyDescent="0.2">
      <c r="D151" s="142"/>
      <c r="E151" s="142"/>
      <c r="F151" s="142"/>
      <c r="AD151" s="171"/>
      <c r="AE151" s="171"/>
      <c r="AF151" s="171"/>
      <c r="AG151" s="171"/>
      <c r="AH151" s="402"/>
      <c r="AI151" s="402"/>
      <c r="AJ151" s="402"/>
      <c r="AK151" s="402"/>
    </row>
    <row r="152" spans="4:37" ht="12.75" x14ac:dyDescent="0.2">
      <c r="D152" s="142"/>
      <c r="E152" s="142"/>
      <c r="F152" s="142"/>
      <c r="AD152" s="171"/>
      <c r="AE152" s="171"/>
      <c r="AF152" s="171"/>
      <c r="AG152" s="171"/>
      <c r="AH152" s="402"/>
      <c r="AI152" s="402"/>
      <c r="AJ152" s="402"/>
      <c r="AK152" s="402"/>
    </row>
    <row r="153" spans="4:37" ht="12.75" x14ac:dyDescent="0.2">
      <c r="D153" s="142"/>
      <c r="E153" s="142"/>
      <c r="F153" s="142"/>
      <c r="AD153" s="171"/>
      <c r="AE153" s="171"/>
      <c r="AF153" s="171"/>
      <c r="AG153" s="171"/>
      <c r="AH153" s="402"/>
      <c r="AI153" s="402"/>
      <c r="AJ153" s="402"/>
      <c r="AK153" s="402"/>
    </row>
    <row r="154" spans="4:37" ht="12.75" x14ac:dyDescent="0.2">
      <c r="D154" s="142"/>
      <c r="E154" s="142"/>
      <c r="F154" s="142"/>
      <c r="AD154" s="171"/>
      <c r="AE154" s="171"/>
      <c r="AF154" s="171"/>
      <c r="AG154" s="171"/>
      <c r="AH154" s="402"/>
      <c r="AI154" s="402"/>
      <c r="AJ154" s="402"/>
      <c r="AK154" s="402"/>
    </row>
    <row r="155" spans="4:37" ht="12.75" x14ac:dyDescent="0.2">
      <c r="D155" s="142"/>
      <c r="E155" s="142"/>
      <c r="F155" s="142"/>
      <c r="AD155" s="171"/>
      <c r="AE155" s="171"/>
      <c r="AF155" s="171"/>
      <c r="AG155" s="171"/>
      <c r="AH155" s="402"/>
      <c r="AI155" s="402"/>
      <c r="AJ155" s="402"/>
      <c r="AK155" s="402"/>
    </row>
    <row r="156" spans="4:37" ht="12.75" x14ac:dyDescent="0.2">
      <c r="D156" s="142"/>
      <c r="E156" s="142"/>
      <c r="F156" s="142"/>
      <c r="AD156" s="171"/>
      <c r="AE156" s="171"/>
      <c r="AF156" s="171"/>
      <c r="AG156" s="171"/>
      <c r="AH156" s="402"/>
      <c r="AI156" s="402"/>
      <c r="AJ156" s="402"/>
      <c r="AK156" s="402"/>
    </row>
    <row r="157" spans="4:37" ht="12.75" x14ac:dyDescent="0.2">
      <c r="D157" s="142"/>
      <c r="E157" s="142"/>
      <c r="F157" s="142"/>
      <c r="AD157" s="171"/>
      <c r="AE157" s="171"/>
      <c r="AF157" s="171"/>
      <c r="AG157" s="171"/>
      <c r="AH157" s="402"/>
      <c r="AI157" s="402"/>
      <c r="AJ157" s="402"/>
      <c r="AK157" s="402"/>
    </row>
    <row r="158" spans="4:37" ht="12.75" x14ac:dyDescent="0.2">
      <c r="D158" s="142"/>
      <c r="E158" s="142"/>
      <c r="F158" s="142"/>
      <c r="AD158" s="171"/>
      <c r="AE158" s="171"/>
      <c r="AF158" s="171"/>
      <c r="AG158" s="171"/>
      <c r="AH158" s="402"/>
      <c r="AI158" s="402"/>
      <c r="AJ158" s="402"/>
      <c r="AK158" s="402"/>
    </row>
    <row r="159" spans="4:37" ht="12.75" x14ac:dyDescent="0.2">
      <c r="D159" s="143"/>
      <c r="E159" s="143"/>
      <c r="F159" s="143"/>
      <c r="AD159" s="171"/>
      <c r="AE159" s="171"/>
      <c r="AF159" s="171"/>
      <c r="AG159" s="171"/>
      <c r="AH159" s="402"/>
      <c r="AI159" s="402"/>
      <c r="AJ159" s="402"/>
      <c r="AK159" s="402"/>
    </row>
    <row r="160" spans="4:37" ht="12.75" x14ac:dyDescent="0.2">
      <c r="D160" s="143"/>
      <c r="E160" s="143"/>
      <c r="F160" s="143"/>
      <c r="AD160" s="171"/>
      <c r="AE160" s="171"/>
      <c r="AF160" s="171"/>
      <c r="AG160" s="171"/>
      <c r="AH160" s="402"/>
      <c r="AI160" s="402"/>
      <c r="AJ160" s="402"/>
      <c r="AK160" s="402"/>
    </row>
    <row r="161" spans="4:37" ht="12.75" x14ac:dyDescent="0.2">
      <c r="D161" s="143"/>
      <c r="E161" s="143"/>
      <c r="F161" s="143"/>
      <c r="AD161" s="171"/>
      <c r="AE161" s="171"/>
      <c r="AF161" s="171"/>
      <c r="AG161" s="171"/>
      <c r="AH161" s="402"/>
      <c r="AI161" s="402"/>
      <c r="AJ161" s="402"/>
      <c r="AK161" s="402"/>
    </row>
    <row r="162" spans="4:37" ht="12.75" x14ac:dyDescent="0.2">
      <c r="D162" s="143"/>
      <c r="E162" s="143"/>
      <c r="F162" s="143"/>
      <c r="AD162" s="171"/>
      <c r="AE162" s="171"/>
      <c r="AF162" s="171"/>
      <c r="AG162" s="171"/>
      <c r="AH162" s="402"/>
      <c r="AI162" s="402"/>
      <c r="AJ162" s="402"/>
      <c r="AK162" s="402"/>
    </row>
    <row r="163" spans="4:37" ht="12.75" x14ac:dyDescent="0.2">
      <c r="D163" s="143"/>
      <c r="E163" s="143"/>
      <c r="F163" s="143"/>
      <c r="AD163" s="171"/>
      <c r="AE163" s="171"/>
      <c r="AF163" s="171"/>
      <c r="AG163" s="171"/>
      <c r="AH163" s="402"/>
      <c r="AI163" s="402"/>
      <c r="AJ163" s="402"/>
      <c r="AK163" s="402"/>
    </row>
    <row r="164" spans="4:37" ht="12.75" x14ac:dyDescent="0.2">
      <c r="D164" s="143"/>
      <c r="E164" s="143"/>
      <c r="F164" s="143"/>
      <c r="AD164" s="171"/>
      <c r="AE164" s="171"/>
      <c r="AF164" s="171"/>
      <c r="AG164" s="171"/>
      <c r="AH164" s="402"/>
      <c r="AI164" s="402"/>
      <c r="AJ164" s="402"/>
      <c r="AK164" s="402"/>
    </row>
    <row r="165" spans="4:37" ht="12.75" x14ac:dyDescent="0.2">
      <c r="D165" s="143"/>
      <c r="E165" s="143"/>
      <c r="F165" s="143"/>
      <c r="AD165" s="171"/>
      <c r="AE165" s="171"/>
      <c r="AF165" s="171"/>
      <c r="AG165" s="171"/>
      <c r="AH165" s="402"/>
      <c r="AI165" s="402"/>
      <c r="AJ165" s="402"/>
      <c r="AK165" s="402"/>
    </row>
    <row r="166" spans="4:37" ht="12.75" x14ac:dyDescent="0.2">
      <c r="D166" s="143"/>
      <c r="E166" s="143"/>
      <c r="F166" s="143"/>
      <c r="AD166" s="171"/>
      <c r="AE166" s="171"/>
      <c r="AF166" s="171"/>
      <c r="AG166" s="171"/>
      <c r="AH166" s="402"/>
      <c r="AI166" s="402"/>
      <c r="AJ166" s="402"/>
      <c r="AK166" s="402"/>
    </row>
    <row r="167" spans="4:37" ht="12.75" x14ac:dyDescent="0.2">
      <c r="D167" s="143"/>
      <c r="E167" s="143"/>
      <c r="F167" s="143"/>
      <c r="AD167" s="171"/>
      <c r="AE167" s="171"/>
      <c r="AF167" s="171"/>
      <c r="AG167" s="171"/>
      <c r="AH167" s="402"/>
      <c r="AI167" s="402"/>
      <c r="AJ167" s="402"/>
      <c r="AK167" s="402"/>
    </row>
    <row r="168" spans="4:37" ht="12.75" x14ac:dyDescent="0.2">
      <c r="D168" s="143"/>
      <c r="E168" s="143"/>
      <c r="F168" s="143"/>
      <c r="AD168" s="171"/>
      <c r="AE168" s="171"/>
      <c r="AF168" s="171"/>
      <c r="AG168" s="171"/>
      <c r="AH168" s="402"/>
      <c r="AI168" s="402"/>
      <c r="AJ168" s="402"/>
      <c r="AK168" s="402"/>
    </row>
    <row r="169" spans="4:37" ht="12.75" x14ac:dyDescent="0.2">
      <c r="D169" s="143"/>
      <c r="E169" s="143"/>
      <c r="F169" s="143"/>
      <c r="AD169" s="171"/>
      <c r="AE169" s="171"/>
      <c r="AF169" s="171"/>
      <c r="AG169" s="171"/>
      <c r="AH169" s="402"/>
      <c r="AI169" s="402"/>
      <c r="AJ169" s="402"/>
      <c r="AK169" s="402"/>
    </row>
    <row r="170" spans="4:37" ht="12.75" x14ac:dyDescent="0.2">
      <c r="D170" s="143"/>
      <c r="E170" s="143"/>
      <c r="F170" s="143"/>
      <c r="AD170" s="171"/>
      <c r="AE170" s="171"/>
      <c r="AF170" s="171"/>
      <c r="AG170" s="171"/>
      <c r="AH170" s="402"/>
      <c r="AI170" s="402"/>
      <c r="AJ170" s="402"/>
      <c r="AK170" s="402"/>
    </row>
    <row r="171" spans="4:37" ht="12.75" x14ac:dyDescent="0.2">
      <c r="D171" s="143"/>
      <c r="E171" s="143"/>
      <c r="F171" s="143"/>
      <c r="AD171" s="171"/>
      <c r="AE171" s="171"/>
      <c r="AF171" s="171"/>
      <c r="AG171" s="171"/>
      <c r="AH171" s="402"/>
      <c r="AI171" s="402"/>
      <c r="AJ171" s="402"/>
      <c r="AK171" s="402"/>
    </row>
    <row r="172" spans="4:37" ht="12.75" x14ac:dyDescent="0.2">
      <c r="D172" s="143"/>
      <c r="E172" s="143"/>
      <c r="F172" s="143"/>
      <c r="AD172" s="171"/>
      <c r="AE172" s="171"/>
      <c r="AF172" s="171"/>
      <c r="AG172" s="171"/>
      <c r="AH172" s="402"/>
      <c r="AI172" s="402"/>
      <c r="AJ172" s="402"/>
      <c r="AK172" s="402"/>
    </row>
    <row r="173" spans="4:37" ht="12.75" x14ac:dyDescent="0.2">
      <c r="D173" s="143"/>
      <c r="E173" s="143"/>
      <c r="F173" s="143"/>
      <c r="AD173" s="171"/>
      <c r="AE173" s="171"/>
      <c r="AF173" s="171"/>
      <c r="AG173" s="171"/>
      <c r="AH173" s="402"/>
      <c r="AI173" s="402"/>
      <c r="AJ173" s="402"/>
      <c r="AK173" s="402"/>
    </row>
    <row r="174" spans="4:37" ht="12.75" x14ac:dyDescent="0.2">
      <c r="D174" s="143"/>
      <c r="E174" s="143"/>
      <c r="F174" s="143"/>
    </row>
    <row r="175" spans="4:37" ht="12.75" x14ac:dyDescent="0.2">
      <c r="D175" s="143"/>
      <c r="E175" s="143"/>
      <c r="F175" s="143"/>
    </row>
    <row r="176" spans="4:37" ht="12.75" x14ac:dyDescent="0.2">
      <c r="D176" s="143"/>
      <c r="E176" s="143"/>
      <c r="F176" s="143"/>
    </row>
    <row r="177" spans="4:6" ht="12.75" x14ac:dyDescent="0.2">
      <c r="D177" s="143"/>
      <c r="E177" s="143"/>
      <c r="F177" s="143"/>
    </row>
    <row r="178" spans="4:6" ht="12.75" x14ac:dyDescent="0.2">
      <c r="D178" s="143"/>
      <c r="E178" s="143"/>
      <c r="F178" s="143"/>
    </row>
    <row r="179" spans="4:6" ht="12.75" x14ac:dyDescent="0.2">
      <c r="D179" s="143"/>
      <c r="E179" s="143"/>
      <c r="F179" s="143"/>
    </row>
    <row r="180" spans="4:6" ht="12.75" x14ac:dyDescent="0.2">
      <c r="D180" s="143"/>
      <c r="E180" s="143"/>
      <c r="F180" s="143"/>
    </row>
    <row r="181" spans="4:6" ht="12.75" x14ac:dyDescent="0.2">
      <c r="D181" s="143"/>
      <c r="E181" s="143"/>
      <c r="F181" s="143"/>
    </row>
    <row r="182" spans="4:6" ht="12.75" x14ac:dyDescent="0.2">
      <c r="D182" s="143"/>
      <c r="E182" s="143"/>
      <c r="F182" s="143"/>
    </row>
    <row r="183" spans="4:6" ht="12.75" x14ac:dyDescent="0.2">
      <c r="D183" s="143"/>
      <c r="E183" s="143"/>
      <c r="F183" s="143"/>
    </row>
    <row r="184" spans="4:6" ht="12.75" x14ac:dyDescent="0.2">
      <c r="D184" s="143"/>
      <c r="E184" s="143"/>
      <c r="F184" s="143"/>
    </row>
    <row r="185" spans="4:6" ht="12.75" x14ac:dyDescent="0.2">
      <c r="D185" s="143"/>
      <c r="E185" s="143"/>
      <c r="F185" s="143"/>
    </row>
    <row r="186" spans="4:6" ht="12.75" x14ac:dyDescent="0.2">
      <c r="D186" s="143"/>
      <c r="E186" s="143"/>
      <c r="F186" s="143"/>
    </row>
    <row r="187" spans="4:6" ht="12.75" x14ac:dyDescent="0.2">
      <c r="D187" s="143"/>
      <c r="E187" s="143"/>
      <c r="F187" s="143"/>
    </row>
    <row r="188" spans="4:6" ht="12.75" x14ac:dyDescent="0.2">
      <c r="D188" s="143"/>
      <c r="E188" s="143"/>
      <c r="F188" s="143"/>
    </row>
    <row r="189" spans="4:6" ht="12.75" x14ac:dyDescent="0.2">
      <c r="D189" s="143"/>
      <c r="E189" s="143"/>
      <c r="F189" s="143"/>
    </row>
    <row r="190" spans="4:6" ht="12.75" x14ac:dyDescent="0.2">
      <c r="D190" s="143"/>
      <c r="E190" s="143"/>
      <c r="F190" s="143"/>
    </row>
    <row r="191" spans="4:6" ht="12.75" x14ac:dyDescent="0.2">
      <c r="D191" s="143"/>
      <c r="E191" s="143"/>
      <c r="F191" s="143"/>
    </row>
    <row r="192" spans="4:6" ht="12.75" x14ac:dyDescent="0.2">
      <c r="D192" s="143"/>
      <c r="E192" s="143"/>
      <c r="F192" s="143"/>
    </row>
    <row r="193" spans="4:6" ht="12.75" x14ac:dyDescent="0.2">
      <c r="D193" s="143"/>
      <c r="E193" s="143"/>
      <c r="F193" s="143"/>
    </row>
    <row r="194" spans="4:6" ht="12.75" x14ac:dyDescent="0.2">
      <c r="D194" s="143"/>
      <c r="E194" s="143"/>
      <c r="F194" s="143"/>
    </row>
    <row r="195" spans="4:6" ht="12.75" x14ac:dyDescent="0.2">
      <c r="D195" s="143"/>
      <c r="E195" s="143"/>
      <c r="F195" s="143"/>
    </row>
    <row r="196" spans="4:6" ht="12.75" x14ac:dyDescent="0.2">
      <c r="D196" s="143"/>
      <c r="E196" s="143"/>
      <c r="F196" s="143"/>
    </row>
    <row r="197" spans="4:6" ht="12.75" x14ac:dyDescent="0.2">
      <c r="D197" s="143"/>
      <c r="E197" s="143"/>
      <c r="F197" s="143"/>
    </row>
    <row r="198" spans="4:6" ht="12.75" x14ac:dyDescent="0.2">
      <c r="D198" s="143"/>
      <c r="E198" s="143"/>
      <c r="F198" s="143"/>
    </row>
    <row r="199" spans="4:6" ht="12.75" x14ac:dyDescent="0.2">
      <c r="D199" s="143"/>
      <c r="E199" s="143"/>
      <c r="F199" s="143"/>
    </row>
    <row r="200" spans="4:6" ht="12.75" x14ac:dyDescent="0.2">
      <c r="D200" s="143"/>
      <c r="E200" s="143"/>
      <c r="F200" s="143"/>
    </row>
    <row r="201" spans="4:6" ht="12.75" x14ac:dyDescent="0.2">
      <c r="D201" s="143"/>
      <c r="E201" s="143"/>
      <c r="F201" s="143"/>
    </row>
    <row r="202" spans="4:6" ht="12.75" x14ac:dyDescent="0.2">
      <c r="D202" s="143"/>
      <c r="E202" s="143"/>
      <c r="F202" s="143"/>
    </row>
    <row r="203" spans="4:6" ht="12.75" x14ac:dyDescent="0.2">
      <c r="D203" s="143"/>
      <c r="E203" s="143"/>
      <c r="F203" s="143"/>
    </row>
    <row r="204" spans="4:6" ht="12.75" x14ac:dyDescent="0.2">
      <c r="D204" s="143"/>
      <c r="E204" s="143"/>
      <c r="F204" s="143"/>
    </row>
    <row r="205" spans="4:6" ht="12.75" x14ac:dyDescent="0.2">
      <c r="D205" s="143"/>
      <c r="E205" s="143"/>
      <c r="F205" s="143"/>
    </row>
    <row r="206" spans="4:6" ht="12.75" x14ac:dyDescent="0.2">
      <c r="D206" s="143"/>
      <c r="E206" s="143"/>
      <c r="F206" s="143"/>
    </row>
    <row r="207" spans="4:6" ht="12.75" x14ac:dyDescent="0.2">
      <c r="D207" s="143"/>
      <c r="E207" s="143"/>
      <c r="F207" s="143"/>
    </row>
    <row r="208" spans="4:6" ht="12.75" x14ac:dyDescent="0.2">
      <c r="D208" s="143"/>
      <c r="E208" s="143"/>
      <c r="F208" s="143"/>
    </row>
    <row r="209" spans="4:6" ht="12.75" x14ac:dyDescent="0.2">
      <c r="D209" s="143"/>
      <c r="E209" s="143"/>
      <c r="F209" s="143"/>
    </row>
    <row r="210" spans="4:6" ht="12.75" x14ac:dyDescent="0.2">
      <c r="D210" s="143"/>
      <c r="E210" s="143"/>
      <c r="F210" s="143"/>
    </row>
    <row r="211" spans="4:6" ht="12.75" x14ac:dyDescent="0.2">
      <c r="D211" s="143"/>
      <c r="E211" s="143"/>
      <c r="F211" s="143"/>
    </row>
    <row r="212" spans="4:6" ht="12.75" x14ac:dyDescent="0.2">
      <c r="D212" s="143"/>
      <c r="E212" s="143"/>
      <c r="F212" s="143"/>
    </row>
    <row r="213" spans="4:6" ht="12.75" x14ac:dyDescent="0.2">
      <c r="D213" s="143"/>
      <c r="E213" s="143"/>
      <c r="F213" s="143"/>
    </row>
    <row r="214" spans="4:6" ht="12.75" x14ac:dyDescent="0.2">
      <c r="D214" s="143"/>
      <c r="E214" s="143"/>
      <c r="F214" s="143"/>
    </row>
    <row r="215" spans="4:6" ht="12.75" x14ac:dyDescent="0.2">
      <c r="D215" s="143"/>
      <c r="E215" s="143"/>
      <c r="F215" s="143"/>
    </row>
    <row r="216" spans="4:6" ht="12.75" x14ac:dyDescent="0.2">
      <c r="D216" s="143"/>
      <c r="E216" s="143"/>
      <c r="F216" s="143"/>
    </row>
    <row r="217" spans="4:6" ht="12.75" x14ac:dyDescent="0.2">
      <c r="D217" s="143"/>
      <c r="E217" s="143"/>
      <c r="F217" s="143"/>
    </row>
    <row r="218" spans="4:6" ht="12.75" x14ac:dyDescent="0.2">
      <c r="D218" s="143"/>
      <c r="E218" s="143"/>
      <c r="F218" s="143"/>
    </row>
    <row r="219" spans="4:6" ht="12.75" x14ac:dyDescent="0.2">
      <c r="D219" s="143"/>
      <c r="E219" s="143"/>
      <c r="F219" s="143"/>
    </row>
    <row r="220" spans="4:6" ht="12.75" x14ac:dyDescent="0.2">
      <c r="D220" s="143"/>
      <c r="E220" s="143"/>
      <c r="F220" s="143"/>
    </row>
    <row r="221" spans="4:6" ht="12.75" x14ac:dyDescent="0.2">
      <c r="D221" s="143"/>
      <c r="E221" s="143"/>
      <c r="F221" s="143"/>
    </row>
    <row r="222" spans="4:6" ht="12.75" x14ac:dyDescent="0.2">
      <c r="D222" s="143"/>
      <c r="E222" s="143"/>
      <c r="F222" s="143"/>
    </row>
    <row r="223" spans="4:6" ht="12.75" x14ac:dyDescent="0.2">
      <c r="D223" s="143"/>
      <c r="E223" s="143"/>
      <c r="F223" s="143"/>
    </row>
    <row r="224" spans="4:6" ht="12.75" x14ac:dyDescent="0.2">
      <c r="D224" s="143"/>
      <c r="E224" s="143"/>
      <c r="F224" s="143"/>
    </row>
    <row r="225" spans="4:6" ht="12.75" x14ac:dyDescent="0.2">
      <c r="D225" s="143"/>
      <c r="E225" s="143"/>
      <c r="F225" s="143"/>
    </row>
    <row r="226" spans="4:6" ht="12.75" x14ac:dyDescent="0.2">
      <c r="D226" s="143"/>
      <c r="E226" s="143"/>
      <c r="F226" s="143"/>
    </row>
    <row r="227" spans="4:6" ht="12.75" x14ac:dyDescent="0.2">
      <c r="D227" s="143"/>
      <c r="E227" s="143"/>
      <c r="F227" s="143"/>
    </row>
    <row r="228" spans="4:6" ht="12.75" x14ac:dyDescent="0.2">
      <c r="D228" s="143"/>
      <c r="E228" s="143"/>
      <c r="F228" s="143"/>
    </row>
    <row r="229" spans="4:6" ht="12.75" x14ac:dyDescent="0.2">
      <c r="D229" s="143"/>
      <c r="E229" s="143"/>
      <c r="F229" s="143"/>
    </row>
    <row r="230" spans="4:6" ht="12.75" x14ac:dyDescent="0.2">
      <c r="D230" s="143"/>
      <c r="E230" s="143"/>
      <c r="F230" s="143"/>
    </row>
    <row r="231" spans="4:6" ht="12.75" x14ac:dyDescent="0.2">
      <c r="D231" s="143"/>
      <c r="E231" s="143"/>
      <c r="F231" s="143"/>
    </row>
    <row r="232" spans="4:6" ht="12.75" x14ac:dyDescent="0.2">
      <c r="D232" s="143"/>
      <c r="E232" s="143"/>
      <c r="F232" s="143"/>
    </row>
    <row r="233" spans="4:6" ht="12.75" x14ac:dyDescent="0.2">
      <c r="D233" s="143"/>
      <c r="E233" s="143"/>
      <c r="F233" s="143"/>
    </row>
    <row r="234" spans="4:6" ht="12.75" x14ac:dyDescent="0.2">
      <c r="D234" s="143"/>
      <c r="E234" s="143"/>
      <c r="F234" s="143"/>
    </row>
    <row r="235" spans="4:6" ht="12.75" x14ac:dyDescent="0.2">
      <c r="D235" s="143"/>
      <c r="E235" s="143"/>
      <c r="F235" s="143"/>
    </row>
    <row r="236" spans="4:6" ht="12.75" x14ac:dyDescent="0.2">
      <c r="D236" s="143"/>
      <c r="E236" s="143"/>
      <c r="F236" s="143"/>
    </row>
    <row r="237" spans="4:6" ht="12.75" x14ac:dyDescent="0.2">
      <c r="D237" s="143"/>
      <c r="E237" s="143"/>
      <c r="F237" s="143"/>
    </row>
    <row r="238" spans="4:6" ht="12.75" x14ac:dyDescent="0.2">
      <c r="D238" s="143"/>
      <c r="E238" s="143"/>
      <c r="F238" s="143"/>
    </row>
    <row r="239" spans="4:6" ht="12.75" x14ac:dyDescent="0.2">
      <c r="D239" s="143"/>
      <c r="E239" s="143"/>
      <c r="F239" s="143"/>
    </row>
    <row r="240" spans="4:6" ht="12.75" x14ac:dyDescent="0.2">
      <c r="D240" s="143"/>
      <c r="E240" s="143"/>
      <c r="F240" s="143"/>
    </row>
    <row r="241" spans="4:6" ht="12.75" x14ac:dyDescent="0.2">
      <c r="D241" s="143"/>
      <c r="E241" s="143"/>
      <c r="F241" s="143"/>
    </row>
    <row r="242" spans="4:6" ht="12.75" x14ac:dyDescent="0.2">
      <c r="D242" s="143"/>
      <c r="E242" s="143"/>
      <c r="F242" s="143"/>
    </row>
    <row r="243" spans="4:6" ht="12.75" x14ac:dyDescent="0.2">
      <c r="D243" s="143"/>
      <c r="E243" s="143"/>
      <c r="F243" s="143"/>
    </row>
    <row r="244" spans="4:6" ht="12.75" x14ac:dyDescent="0.2">
      <c r="D244" s="143"/>
      <c r="E244" s="143"/>
      <c r="F244" s="143"/>
    </row>
    <row r="245" spans="4:6" ht="12.75" x14ac:dyDescent="0.2">
      <c r="D245" s="143"/>
      <c r="E245" s="143"/>
      <c r="F245" s="143"/>
    </row>
    <row r="246" spans="4:6" ht="12.75" x14ac:dyDescent="0.2">
      <c r="D246" s="143"/>
      <c r="E246" s="143"/>
      <c r="F246" s="143"/>
    </row>
    <row r="247" spans="4:6" ht="12.75" x14ac:dyDescent="0.2">
      <c r="D247" s="143"/>
      <c r="E247" s="143"/>
      <c r="F247" s="143"/>
    </row>
    <row r="248" spans="4:6" ht="12.75" x14ac:dyDescent="0.2">
      <c r="D248" s="143"/>
      <c r="E248" s="143"/>
      <c r="F248" s="143"/>
    </row>
    <row r="249" spans="4:6" ht="12.75" x14ac:dyDescent="0.2">
      <c r="D249" s="143"/>
      <c r="E249" s="143"/>
      <c r="F249" s="143"/>
    </row>
    <row r="250" spans="4:6" ht="12.75" x14ac:dyDescent="0.2">
      <c r="D250" s="143"/>
      <c r="E250" s="143"/>
      <c r="F250" s="143"/>
    </row>
    <row r="251" spans="4:6" ht="12.75" x14ac:dyDescent="0.2">
      <c r="D251" s="143"/>
      <c r="E251" s="143"/>
      <c r="F251" s="143"/>
    </row>
    <row r="252" spans="4:6" ht="12.75" x14ac:dyDescent="0.2">
      <c r="D252" s="143"/>
      <c r="E252" s="143"/>
      <c r="F252" s="143"/>
    </row>
    <row r="253" spans="4:6" ht="12.75" x14ac:dyDescent="0.2">
      <c r="D253" s="143"/>
      <c r="E253" s="143"/>
      <c r="F253" s="143"/>
    </row>
    <row r="254" spans="4:6" ht="12.75" x14ac:dyDescent="0.2">
      <c r="D254" s="143"/>
      <c r="E254" s="143"/>
      <c r="F254" s="143"/>
    </row>
    <row r="255" spans="4:6" ht="12.75" x14ac:dyDescent="0.2">
      <c r="D255" s="143"/>
      <c r="E255" s="143"/>
      <c r="F255" s="143"/>
    </row>
    <row r="256" spans="4:6" ht="12.75" x14ac:dyDescent="0.2">
      <c r="D256" s="143"/>
      <c r="E256" s="143"/>
      <c r="F256" s="143"/>
    </row>
    <row r="257" spans="4:6" ht="12.75" x14ac:dyDescent="0.2">
      <c r="D257" s="143"/>
      <c r="E257" s="143"/>
      <c r="F257" s="143"/>
    </row>
    <row r="258" spans="4:6" ht="12.75" x14ac:dyDescent="0.2">
      <c r="D258" s="143"/>
      <c r="E258" s="143"/>
      <c r="F258" s="143"/>
    </row>
    <row r="259" spans="4:6" ht="12.75" x14ac:dyDescent="0.2">
      <c r="D259" s="143"/>
      <c r="E259" s="143"/>
      <c r="F259" s="143"/>
    </row>
    <row r="260" spans="4:6" ht="12.75" x14ac:dyDescent="0.2">
      <c r="D260" s="143"/>
      <c r="E260" s="143"/>
      <c r="F260" s="143"/>
    </row>
    <row r="261" spans="4:6" ht="12.75" x14ac:dyDescent="0.2">
      <c r="D261" s="143"/>
      <c r="E261" s="143"/>
      <c r="F261" s="143"/>
    </row>
    <row r="262" spans="4:6" ht="12.75" x14ac:dyDescent="0.2">
      <c r="D262" s="143"/>
      <c r="E262" s="143"/>
      <c r="F262" s="143"/>
    </row>
    <row r="263" spans="4:6" ht="12.75" x14ac:dyDescent="0.2">
      <c r="D263" s="143"/>
      <c r="E263" s="143"/>
      <c r="F263" s="143"/>
    </row>
    <row r="264" spans="4:6" ht="12.75" x14ac:dyDescent="0.2">
      <c r="D264" s="143"/>
      <c r="E264" s="143"/>
      <c r="F264" s="143"/>
    </row>
    <row r="265" spans="4:6" ht="12.75" x14ac:dyDescent="0.2">
      <c r="D265" s="143"/>
      <c r="E265" s="143"/>
      <c r="F265" s="143"/>
    </row>
    <row r="266" spans="4:6" ht="12.75" x14ac:dyDescent="0.2">
      <c r="D266" s="143"/>
      <c r="E266" s="143"/>
      <c r="F266" s="143"/>
    </row>
    <row r="267" spans="4:6" ht="12.75" x14ac:dyDescent="0.2">
      <c r="D267" s="143"/>
      <c r="E267" s="143"/>
      <c r="F267" s="143"/>
    </row>
    <row r="268" spans="4:6" ht="12.75" x14ac:dyDescent="0.2">
      <c r="D268" s="143"/>
      <c r="E268" s="143"/>
      <c r="F268" s="143"/>
    </row>
    <row r="269" spans="4:6" ht="12.75" x14ac:dyDescent="0.2">
      <c r="D269" s="143"/>
      <c r="E269" s="143"/>
      <c r="F269" s="143"/>
    </row>
    <row r="270" spans="4:6" ht="12.75" x14ac:dyDescent="0.2">
      <c r="D270" s="143"/>
      <c r="E270" s="143"/>
      <c r="F270" s="143"/>
    </row>
    <row r="271" spans="4:6" ht="12.75" x14ac:dyDescent="0.2">
      <c r="D271" s="143"/>
      <c r="E271" s="143"/>
      <c r="F271" s="143"/>
    </row>
    <row r="272" spans="4:6" ht="12.75" x14ac:dyDescent="0.2">
      <c r="D272" s="143"/>
      <c r="E272" s="143"/>
      <c r="F272" s="143"/>
    </row>
    <row r="273" spans="4:6" ht="12.75" x14ac:dyDescent="0.2">
      <c r="D273" s="143"/>
      <c r="E273" s="143"/>
      <c r="F273" s="143"/>
    </row>
    <row r="274" spans="4:6" ht="12.75" x14ac:dyDescent="0.2">
      <c r="D274" s="143"/>
      <c r="E274" s="143"/>
      <c r="F274" s="143"/>
    </row>
    <row r="275" spans="4:6" ht="12.75" x14ac:dyDescent="0.2">
      <c r="D275" s="143"/>
      <c r="E275" s="143"/>
      <c r="F275" s="143"/>
    </row>
    <row r="276" spans="4:6" ht="12.75" x14ac:dyDescent="0.2">
      <c r="D276" s="143"/>
      <c r="E276" s="143"/>
      <c r="F276" s="143"/>
    </row>
    <row r="277" spans="4:6" ht="12.75" x14ac:dyDescent="0.2">
      <c r="D277" s="143"/>
      <c r="E277" s="143"/>
      <c r="F277" s="143"/>
    </row>
    <row r="278" spans="4:6" ht="12.75" x14ac:dyDescent="0.2">
      <c r="D278" s="143"/>
      <c r="E278" s="143"/>
      <c r="F278" s="143"/>
    </row>
    <row r="279" spans="4:6" ht="12.75" x14ac:dyDescent="0.2">
      <c r="D279" s="143"/>
      <c r="E279" s="143"/>
      <c r="F279" s="143"/>
    </row>
    <row r="280" spans="4:6" ht="12.75" x14ac:dyDescent="0.2">
      <c r="D280" s="143"/>
      <c r="E280" s="143"/>
      <c r="F280" s="143"/>
    </row>
    <row r="281" spans="4:6" ht="12.75" x14ac:dyDescent="0.2">
      <c r="D281" s="143"/>
      <c r="E281" s="143"/>
      <c r="F281" s="143"/>
    </row>
    <row r="282" spans="4:6" ht="12.75" x14ac:dyDescent="0.2">
      <c r="D282" s="143"/>
      <c r="E282" s="143"/>
      <c r="F282" s="143"/>
    </row>
    <row r="283" spans="4:6" ht="12.75" x14ac:dyDescent="0.2">
      <c r="D283" s="143"/>
      <c r="E283" s="143"/>
      <c r="F283" s="143"/>
    </row>
    <row r="284" spans="4:6" ht="12.75" x14ac:dyDescent="0.2">
      <c r="D284" s="143"/>
      <c r="E284" s="143"/>
      <c r="F284" s="143"/>
    </row>
    <row r="285" spans="4:6" ht="12.75" x14ac:dyDescent="0.2">
      <c r="D285" s="143"/>
      <c r="E285" s="143"/>
      <c r="F285" s="143"/>
    </row>
    <row r="286" spans="4:6" ht="12.75" x14ac:dyDescent="0.2">
      <c r="D286" s="143"/>
      <c r="E286" s="143"/>
      <c r="F286" s="143"/>
    </row>
    <row r="287" spans="4:6" ht="12.75" x14ac:dyDescent="0.2">
      <c r="D287" s="143"/>
      <c r="E287" s="143"/>
      <c r="F287" s="143"/>
    </row>
    <row r="288" spans="4:6" ht="12.75" x14ac:dyDescent="0.2">
      <c r="D288" s="143"/>
      <c r="E288" s="143"/>
      <c r="F288" s="143"/>
    </row>
    <row r="289" spans="4:6" ht="12.75" x14ac:dyDescent="0.2">
      <c r="D289" s="143"/>
      <c r="E289" s="143"/>
      <c r="F289" s="143"/>
    </row>
    <row r="290" spans="4:6" ht="12.75" x14ac:dyDescent="0.2">
      <c r="D290" s="143"/>
      <c r="E290" s="143"/>
      <c r="F290" s="143"/>
    </row>
    <row r="291" spans="4:6" ht="12.75" x14ac:dyDescent="0.2">
      <c r="D291" s="143"/>
      <c r="E291" s="143"/>
      <c r="F291" s="143"/>
    </row>
    <row r="292" spans="4:6" ht="12.75" x14ac:dyDescent="0.2">
      <c r="D292" s="143"/>
      <c r="E292" s="143"/>
      <c r="F292" s="143"/>
    </row>
    <row r="293" spans="4:6" ht="12.75" x14ac:dyDescent="0.2">
      <c r="D293" s="143"/>
      <c r="E293" s="143"/>
      <c r="F293" s="143"/>
    </row>
    <row r="294" spans="4:6" ht="12.75" x14ac:dyDescent="0.2">
      <c r="D294" s="143"/>
      <c r="E294" s="143"/>
      <c r="F294" s="143"/>
    </row>
    <row r="295" spans="4:6" ht="12.75" x14ac:dyDescent="0.2">
      <c r="D295" s="143"/>
      <c r="E295" s="143"/>
      <c r="F295" s="143"/>
    </row>
    <row r="296" spans="4:6" ht="12.75" x14ac:dyDescent="0.2">
      <c r="D296" s="143"/>
      <c r="E296" s="143"/>
      <c r="F296" s="143"/>
    </row>
    <row r="297" spans="4:6" ht="12.75" x14ac:dyDescent="0.2">
      <c r="D297" s="143"/>
      <c r="E297" s="143"/>
      <c r="F297" s="143"/>
    </row>
    <row r="298" spans="4:6" ht="12.75" x14ac:dyDescent="0.2">
      <c r="D298" s="143"/>
      <c r="E298" s="143"/>
      <c r="F298" s="143"/>
    </row>
    <row r="299" spans="4:6" ht="12.75" x14ac:dyDescent="0.2">
      <c r="D299" s="143"/>
      <c r="E299" s="143"/>
      <c r="F299" s="143"/>
    </row>
    <row r="300" spans="4:6" ht="12.75" x14ac:dyDescent="0.2">
      <c r="D300" s="143"/>
      <c r="E300" s="143"/>
      <c r="F300" s="143"/>
    </row>
  </sheetData>
  <sheetProtection algorithmName="SHA-512" hashValue="SOFsqZSv5KlR+5RzU79R9cG0sIKmRKO5fQ7jk3wr8rvDrvAFeDlMDzeSqDDhRVwc3sPdE6E27gx1kUoYVLiecw==" saltValue="PkkytjbJwGBhpmQlXzHYUA==" spinCount="100000" sheet="1" formatCells="0" formatColumns="0" formatRows="0" insertColumns="0" insertRows="0" insertHyperlinks="0" deleteColumns="0" deleteRows="0" sort="0" autoFilter="0" pivotTables="0"/>
  <mergeCells count="8">
    <mergeCell ref="B1:Z1"/>
    <mergeCell ref="Y4:Z4"/>
    <mergeCell ref="J6:N6"/>
    <mergeCell ref="P6:W6"/>
    <mergeCell ref="P7:Q8"/>
    <mergeCell ref="R7:S8"/>
    <mergeCell ref="T7:U8"/>
    <mergeCell ref="V7:W8"/>
  </mergeCells>
  <printOptions horizontalCentered="1"/>
  <pageMargins left="0.53" right="0.19685039370078741" top="0.43" bottom="0.5" header="0.28000000000000003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O56"/>
  <sheetViews>
    <sheetView view="pageBreakPreview" topLeftCell="A19" zoomScale="115" zoomScaleNormal="75" zoomScaleSheetLayoutView="115" workbookViewId="0">
      <selection activeCell="V46" sqref="V46:AA46"/>
    </sheetView>
  </sheetViews>
  <sheetFormatPr defaultRowHeight="12.75" x14ac:dyDescent="0.2"/>
  <cols>
    <col min="2" max="4" width="3.7109375" customWidth="1"/>
    <col min="5" max="6" width="2.7109375" customWidth="1"/>
    <col min="7" max="7" width="1.42578125" customWidth="1"/>
    <col min="8" max="10" width="2.7109375" customWidth="1"/>
    <col min="11" max="11" width="2.5703125" customWidth="1"/>
    <col min="12" max="15" width="2.7109375" customWidth="1"/>
    <col min="16" max="16" width="3.7109375" customWidth="1"/>
    <col min="17" max="18" width="2.7109375" customWidth="1"/>
    <col min="19" max="19" width="4" customWidth="1"/>
    <col min="20" max="20" width="4.42578125" customWidth="1"/>
    <col min="21" max="31" width="2.7109375" customWidth="1"/>
    <col min="32" max="32" width="4.140625" customWidth="1"/>
    <col min="33" max="42" width="2.7109375" customWidth="1"/>
  </cols>
  <sheetData>
    <row r="2" spans="1:41" x14ac:dyDescent="0.2">
      <c r="D2" s="1" t="s">
        <v>0</v>
      </c>
      <c r="AO2" s="2"/>
    </row>
    <row r="3" spans="1:41" x14ac:dyDescent="0.2">
      <c r="D3" s="3" t="s">
        <v>1</v>
      </c>
      <c r="AO3" s="2"/>
    </row>
    <row r="4" spans="1:41" x14ac:dyDescent="0.2">
      <c r="B4" t="s">
        <v>2</v>
      </c>
    </row>
    <row r="6" spans="1:41" ht="18.75" x14ac:dyDescent="0.3">
      <c r="B6" s="523" t="s">
        <v>3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</row>
    <row r="7" spans="1:41" ht="5.25" customHeight="1" thickBot="1" x14ac:dyDescent="0.3">
      <c r="J7" s="4"/>
    </row>
    <row r="8" spans="1:41" ht="4.5" customHeight="1" x14ac:dyDescent="0.2">
      <c r="B8" s="446" t="s">
        <v>31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8"/>
      <c r="P8" s="452" t="s">
        <v>4</v>
      </c>
      <c r="Q8" s="447"/>
      <c r="R8" s="447"/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8"/>
      <c r="AF8" s="452" t="s">
        <v>5</v>
      </c>
      <c r="AG8" s="447"/>
      <c r="AH8" s="447"/>
      <c r="AI8" s="447"/>
      <c r="AJ8" s="447"/>
      <c r="AK8" s="447"/>
      <c r="AL8" s="447"/>
      <c r="AM8" s="447"/>
      <c r="AN8" s="447"/>
      <c r="AO8" s="454"/>
    </row>
    <row r="9" spans="1:41" x14ac:dyDescent="0.2">
      <c r="B9" s="449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1"/>
      <c r="P9" s="453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1"/>
      <c r="AF9" s="453"/>
      <c r="AG9" s="450"/>
      <c r="AH9" s="450"/>
      <c r="AI9" s="450"/>
      <c r="AJ9" s="450"/>
      <c r="AK9" s="450"/>
      <c r="AL9" s="450"/>
      <c r="AM9" s="450"/>
      <c r="AN9" s="450"/>
      <c r="AO9" s="455"/>
    </row>
    <row r="10" spans="1:41" ht="2.25" customHeight="1" x14ac:dyDescent="0.2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7"/>
      <c r="AF10" s="6"/>
      <c r="AG10" s="6"/>
      <c r="AH10" s="6"/>
      <c r="AI10" s="6"/>
      <c r="AJ10" s="6"/>
      <c r="AK10" s="6"/>
      <c r="AL10" s="6"/>
      <c r="AM10" s="6"/>
      <c r="AN10" s="6"/>
      <c r="AO10" s="8"/>
    </row>
    <row r="11" spans="1:41" x14ac:dyDescent="0.2">
      <c r="B11" s="5" t="s">
        <v>6</v>
      </c>
      <c r="C11" s="6"/>
      <c r="D11" s="6"/>
      <c r="E11" s="456" t="s">
        <v>192</v>
      </c>
      <c r="F11" s="456"/>
      <c r="G11" s="456"/>
      <c r="H11" s="456"/>
      <c r="I11" s="456"/>
      <c r="J11" s="456"/>
      <c r="K11" s="456"/>
      <c r="L11" s="456"/>
      <c r="M11" s="456"/>
      <c r="N11" s="456"/>
      <c r="O11" s="457"/>
      <c r="P11" s="6" t="s">
        <v>6</v>
      </c>
      <c r="Q11" s="6"/>
      <c r="R11" s="6"/>
      <c r="S11" s="458" t="str">
        <f>Aspal!C4</f>
        <v>Kalimbukuni - Lahi Kaninu</v>
      </c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7"/>
      <c r="AF11" s="6"/>
      <c r="AG11" s="6"/>
      <c r="AH11" s="6"/>
      <c r="AI11" s="6"/>
      <c r="AJ11" s="6"/>
      <c r="AK11" s="6"/>
      <c r="AL11" s="6"/>
      <c r="AM11" s="6"/>
      <c r="AN11" s="6"/>
      <c r="AO11" s="8"/>
    </row>
    <row r="12" spans="1:41" ht="15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7"/>
      <c r="AF12" s="6"/>
      <c r="AG12" s="9"/>
      <c r="AH12" s="9"/>
      <c r="AI12" s="6"/>
      <c r="AJ12" s="9"/>
      <c r="AK12" s="9"/>
      <c r="AL12" s="6"/>
      <c r="AM12" s="9"/>
      <c r="AN12" s="9"/>
      <c r="AO12" s="8"/>
    </row>
    <row r="13" spans="1:41" s="16" customFormat="1" ht="15" customHeight="1" x14ac:dyDescent="0.2">
      <c r="A13"/>
      <c r="B13" s="10" t="s">
        <v>7</v>
      </c>
      <c r="C13" s="11"/>
      <c r="D13" s="11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3"/>
      <c r="P13" s="11" t="s">
        <v>7</v>
      </c>
      <c r="Q13" s="11"/>
      <c r="R13" s="11"/>
      <c r="S13" s="11"/>
      <c r="T13" s="11"/>
      <c r="U13" s="242">
        <v>0</v>
      </c>
      <c r="V13" s="242">
        <v>0</v>
      </c>
      <c r="W13" s="242">
        <v>1</v>
      </c>
      <c r="X13" s="243"/>
      <c r="Y13" s="12"/>
      <c r="Z13" s="12"/>
      <c r="AA13" s="11"/>
      <c r="AB13" s="12"/>
      <c r="AC13" s="11"/>
      <c r="AD13" s="11"/>
      <c r="AE13" s="13"/>
      <c r="AF13" s="11"/>
      <c r="AG13" s="14" t="s">
        <v>8</v>
      </c>
      <c r="AH13" s="14"/>
      <c r="AI13" s="14"/>
      <c r="AJ13" s="14" t="s">
        <v>9</v>
      </c>
      <c r="AK13" s="14"/>
      <c r="AL13" s="14"/>
      <c r="AM13" s="14" t="s">
        <v>10</v>
      </c>
      <c r="AN13" s="11"/>
      <c r="AO13" s="15"/>
    </row>
    <row r="14" spans="1:41" s="16" customFormat="1" ht="3" customHeight="1" x14ac:dyDescent="0.2">
      <c r="A14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8"/>
      <c r="AG14" s="18"/>
      <c r="AH14" s="18"/>
      <c r="AI14" s="18"/>
      <c r="AJ14" s="18"/>
      <c r="AK14" s="18"/>
      <c r="AL14" s="18"/>
      <c r="AM14" s="18"/>
      <c r="AN14" s="18"/>
      <c r="AO14" s="20"/>
    </row>
    <row r="15" spans="1:41" s="16" customFormat="1" x14ac:dyDescent="0.2">
      <c r="A15"/>
      <c r="B15" s="468" t="s">
        <v>11</v>
      </c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3"/>
      <c r="P15" s="461" t="s">
        <v>32</v>
      </c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2"/>
      <c r="AB15" s="462"/>
      <c r="AC15" s="462"/>
      <c r="AD15" s="462"/>
      <c r="AE15" s="463"/>
      <c r="AF15" s="461" t="s">
        <v>12</v>
      </c>
      <c r="AG15" s="462"/>
      <c r="AH15" s="462"/>
      <c r="AI15" s="462"/>
      <c r="AJ15" s="462"/>
      <c r="AK15" s="462"/>
      <c r="AL15" s="462"/>
      <c r="AM15" s="462"/>
      <c r="AN15" s="462"/>
      <c r="AO15" s="469"/>
    </row>
    <row r="16" spans="1:41" s="16" customFormat="1" ht="6.75" customHeight="1" x14ac:dyDescent="0.2">
      <c r="A16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530" t="s">
        <v>14</v>
      </c>
      <c r="Q16" s="524" t="s">
        <v>15</v>
      </c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6"/>
      <c r="AF16" s="11"/>
      <c r="AG16" s="11"/>
      <c r="AH16" s="11"/>
      <c r="AI16" s="11"/>
      <c r="AJ16" s="11"/>
      <c r="AK16" s="11"/>
      <c r="AL16" s="11"/>
      <c r="AM16" s="11"/>
      <c r="AN16" s="11"/>
      <c r="AO16" s="15"/>
    </row>
    <row r="17" spans="1:41" s="16" customFormat="1" x14ac:dyDescent="0.2">
      <c r="A17"/>
      <c r="B17" s="10" t="s">
        <v>13</v>
      </c>
      <c r="C17" s="11"/>
      <c r="D17" s="11"/>
      <c r="E17" s="459"/>
      <c r="F17" s="459"/>
      <c r="G17" s="459"/>
      <c r="H17" s="11"/>
      <c r="I17" s="459"/>
      <c r="J17" s="459"/>
      <c r="K17" s="459"/>
      <c r="L17" s="11"/>
      <c r="M17" s="459"/>
      <c r="N17" s="459"/>
      <c r="O17" s="460"/>
      <c r="P17" s="531"/>
      <c r="Q17" s="527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9"/>
      <c r="AF17" s="11" t="s">
        <v>16</v>
      </c>
      <c r="AH17" s="11"/>
      <c r="AI17" s="459" t="s">
        <v>189</v>
      </c>
      <c r="AJ17" s="459"/>
      <c r="AK17" s="459"/>
      <c r="AL17" s="459"/>
      <c r="AM17" s="459"/>
      <c r="AN17" s="459"/>
      <c r="AO17" s="467"/>
    </row>
    <row r="18" spans="1:41" s="16" customFormat="1" ht="15" customHeight="1" x14ac:dyDescent="0.2">
      <c r="A18"/>
      <c r="B18" s="17"/>
      <c r="C18" s="18"/>
      <c r="D18" s="18"/>
      <c r="E18" s="21" t="s">
        <v>17</v>
      </c>
      <c r="F18" s="21"/>
      <c r="G18" s="21"/>
      <c r="H18" s="18"/>
      <c r="I18" s="18" t="s">
        <v>18</v>
      </c>
      <c r="J18" s="18"/>
      <c r="K18" s="18"/>
      <c r="L18" s="18"/>
      <c r="M18" s="18" t="s">
        <v>10</v>
      </c>
      <c r="N18" s="18"/>
      <c r="O18" s="19"/>
      <c r="P18" s="37">
        <v>1</v>
      </c>
      <c r="Q18" s="461" t="s">
        <v>186</v>
      </c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3"/>
      <c r="AF18" s="11"/>
      <c r="AH18" s="11"/>
      <c r="AI18" s="11"/>
      <c r="AJ18" s="11"/>
      <c r="AK18" s="11"/>
      <c r="AL18" s="11"/>
      <c r="AM18" s="11"/>
      <c r="AN18" s="11"/>
      <c r="AO18" s="15"/>
    </row>
    <row r="19" spans="1:41" s="16" customFormat="1" ht="15" customHeight="1" x14ac:dyDescent="0.2">
      <c r="A1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37">
        <v>2</v>
      </c>
      <c r="Q19" s="461" t="s">
        <v>187</v>
      </c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3"/>
      <c r="AF19" s="11"/>
      <c r="AH19" s="11"/>
      <c r="AI19" s="11"/>
      <c r="AJ19" s="11"/>
      <c r="AK19" s="11"/>
      <c r="AL19" s="11"/>
      <c r="AM19" s="11"/>
      <c r="AN19" s="11"/>
      <c r="AO19" s="15"/>
    </row>
    <row r="20" spans="1:41" s="16" customFormat="1" ht="15" customHeight="1" x14ac:dyDescent="0.2">
      <c r="A20"/>
      <c r="B20" s="10" t="s">
        <v>19</v>
      </c>
      <c r="C20" s="11"/>
      <c r="D20" s="11"/>
      <c r="E20" s="461"/>
      <c r="F20" s="462"/>
      <c r="G20" s="462"/>
      <c r="H20" s="462"/>
      <c r="I20" s="462"/>
      <c r="J20" s="462"/>
      <c r="K20" s="462"/>
      <c r="L20" s="462"/>
      <c r="M20" s="462"/>
      <c r="N20" s="463"/>
      <c r="O20" s="13"/>
      <c r="P20" s="38">
        <v>3</v>
      </c>
      <c r="Q20" s="464" t="s">
        <v>188</v>
      </c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6"/>
      <c r="AF20" s="11"/>
      <c r="AG20" s="11"/>
      <c r="AH20" s="11"/>
      <c r="AI20" s="11"/>
      <c r="AJ20" s="11"/>
      <c r="AK20" s="11"/>
      <c r="AL20" s="11"/>
      <c r="AM20" s="11"/>
      <c r="AN20" s="11"/>
      <c r="AO20" s="15"/>
    </row>
    <row r="21" spans="1:41" s="16" customFormat="1" ht="4.5" customHeight="1" x14ac:dyDescent="0.2">
      <c r="A21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  <c r="AF21" s="18"/>
      <c r="AG21" s="18"/>
      <c r="AH21" s="18"/>
      <c r="AI21" s="18"/>
      <c r="AJ21" s="18"/>
      <c r="AK21" s="18"/>
      <c r="AL21" s="18"/>
      <c r="AM21" s="18"/>
      <c r="AN21" s="18"/>
      <c r="AO21" s="20"/>
    </row>
    <row r="22" spans="1:41" s="16" customFormat="1" ht="2.25" customHeight="1" x14ac:dyDescent="0.2">
      <c r="A22"/>
      <c r="B22" s="10"/>
      <c r="C22" s="11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5"/>
    </row>
    <row r="23" spans="1:41" s="16" customFormat="1" ht="15" customHeight="1" x14ac:dyDescent="0.2">
      <c r="A23"/>
      <c r="B23" s="10" t="s">
        <v>20</v>
      </c>
      <c r="C23" s="11"/>
      <c r="D23" s="11"/>
      <c r="E23" s="13"/>
      <c r="F23" s="11"/>
      <c r="G23" s="11"/>
      <c r="H23" s="12"/>
      <c r="I23" s="12"/>
      <c r="J23" s="12"/>
      <c r="K23" s="22" t="s">
        <v>21</v>
      </c>
      <c r="L23" s="11"/>
      <c r="M23" s="12"/>
      <c r="N23" s="12"/>
      <c r="O23" s="12"/>
      <c r="P23" s="11"/>
      <c r="Q23" s="12"/>
      <c r="R23" s="12"/>
      <c r="S23" s="22" t="s">
        <v>21</v>
      </c>
      <c r="T23" s="22"/>
      <c r="U23" s="11"/>
      <c r="V23" s="12"/>
      <c r="W23" s="12"/>
      <c r="X23" s="12"/>
      <c r="Y23" s="12"/>
      <c r="Z23" s="12"/>
      <c r="AA23" s="12"/>
      <c r="AB23" s="11"/>
      <c r="AC23" s="12"/>
      <c r="AD23" s="12"/>
      <c r="AE23" s="22" t="s">
        <v>21</v>
      </c>
      <c r="AF23" s="11"/>
      <c r="AG23" s="11"/>
      <c r="AH23" s="11"/>
      <c r="AI23" s="11"/>
      <c r="AJ23" s="12"/>
      <c r="AK23" s="12"/>
      <c r="AL23" s="11"/>
      <c r="AM23" s="12"/>
      <c r="AN23" s="12"/>
      <c r="AO23" s="15"/>
    </row>
    <row r="24" spans="1:41" ht="15.75" customHeight="1" x14ac:dyDescent="0.2">
      <c r="B24" s="5"/>
      <c r="C24" s="6"/>
      <c r="D24" s="6"/>
      <c r="E24" s="7"/>
      <c r="F24" s="6"/>
      <c r="G24" s="6"/>
      <c r="H24" s="23" t="s">
        <v>22</v>
      </c>
      <c r="I24" s="23"/>
      <c r="J24" s="23"/>
      <c r="K24" s="23"/>
      <c r="L24" s="23"/>
      <c r="M24" s="23"/>
      <c r="N24" s="23"/>
      <c r="O24" s="23" t="s">
        <v>23</v>
      </c>
      <c r="P24" s="23"/>
      <c r="Q24" s="23"/>
      <c r="R24" s="23"/>
      <c r="S24" s="23"/>
      <c r="T24" s="23"/>
      <c r="U24" s="23"/>
      <c r="V24" s="23" t="s">
        <v>24</v>
      </c>
      <c r="W24" s="23"/>
      <c r="X24" s="6"/>
      <c r="Y24" s="6"/>
      <c r="Z24" s="6"/>
      <c r="AA24" s="6"/>
      <c r="AB24" s="6"/>
      <c r="AC24" s="6"/>
      <c r="AD24" s="6"/>
      <c r="AE24" s="6"/>
      <c r="AF24" s="6"/>
      <c r="AG24" s="23" t="s">
        <v>25</v>
      </c>
      <c r="AH24" s="23"/>
      <c r="AI24" s="23"/>
      <c r="AJ24" s="23" t="s">
        <v>26</v>
      </c>
      <c r="AK24" s="23"/>
      <c r="AL24" s="23"/>
      <c r="AM24" s="23" t="s">
        <v>27</v>
      </c>
      <c r="AN24" s="23"/>
      <c r="AO24" s="24"/>
    </row>
    <row r="25" spans="1:41" ht="15.75" x14ac:dyDescent="0.2">
      <c r="B25" s="5" t="s">
        <v>28</v>
      </c>
      <c r="C25" s="6"/>
      <c r="D25" s="6"/>
      <c r="E25" s="7"/>
      <c r="F25" s="6"/>
      <c r="G25" s="6"/>
      <c r="H25" s="9"/>
      <c r="I25" s="9"/>
      <c r="J25" s="9"/>
      <c r="K25" s="25" t="s">
        <v>21</v>
      </c>
      <c r="L25" s="6"/>
      <c r="M25" s="9"/>
      <c r="N25" s="9"/>
      <c r="O25" s="9"/>
      <c r="P25" s="9"/>
      <c r="Q25" s="9"/>
      <c r="R25" s="9"/>
      <c r="S25" s="25" t="s">
        <v>21</v>
      </c>
      <c r="T25" s="25"/>
      <c r="U25" s="6"/>
      <c r="V25" s="9"/>
      <c r="W25" s="9"/>
      <c r="X25" s="9"/>
      <c r="Y25" s="9"/>
      <c r="Z25" s="9"/>
      <c r="AA25" s="9"/>
      <c r="AB25" s="6"/>
      <c r="AC25" s="9"/>
      <c r="AD25" s="9"/>
      <c r="AE25" s="25" t="s">
        <v>21</v>
      </c>
      <c r="AF25" s="6"/>
      <c r="AG25" s="6"/>
      <c r="AH25" s="6"/>
      <c r="AI25" s="6"/>
      <c r="AJ25" s="9"/>
      <c r="AK25" s="9"/>
      <c r="AL25" s="6"/>
      <c r="AM25" s="9"/>
      <c r="AN25" s="9"/>
      <c r="AO25" s="8"/>
    </row>
    <row r="26" spans="1:41" ht="3.75" customHeight="1" thickBot="1" x14ac:dyDescent="0.25">
      <c r="B26" s="26"/>
      <c r="C26" s="27"/>
      <c r="D26" s="27"/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9"/>
    </row>
    <row r="27" spans="1:41" ht="3.75" customHeight="1" thickBot="1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27"/>
      <c r="N27" s="30"/>
      <c r="O27" s="30"/>
      <c r="P27" s="30"/>
      <c r="Q27" s="30"/>
      <c r="R27" s="30"/>
      <c r="S27" s="30"/>
      <c r="T27" s="31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x14ac:dyDescent="0.2">
      <c r="B28" s="481" t="s">
        <v>33</v>
      </c>
      <c r="C28" s="482"/>
      <c r="D28" s="482"/>
      <c r="E28" s="483"/>
      <c r="F28" s="490" t="s">
        <v>36</v>
      </c>
      <c r="G28" s="491"/>
      <c r="H28" s="491"/>
      <c r="I28" s="491"/>
      <c r="J28" s="491"/>
      <c r="K28" s="492"/>
      <c r="L28" s="428" t="s">
        <v>29</v>
      </c>
      <c r="M28" s="429"/>
      <c r="N28" s="429"/>
      <c r="O28" s="429"/>
      <c r="P28" s="429"/>
      <c r="Q28" s="429"/>
      <c r="R28" s="429"/>
      <c r="S28" s="430"/>
      <c r="T28" s="32"/>
      <c r="U28" s="8"/>
      <c r="V28" s="481" t="s">
        <v>35</v>
      </c>
      <c r="W28" s="482"/>
      <c r="X28" s="482"/>
      <c r="Y28" s="482"/>
      <c r="Z28" s="482"/>
      <c r="AA28" s="483"/>
      <c r="AB28" s="490" t="s">
        <v>36</v>
      </c>
      <c r="AC28" s="491"/>
      <c r="AD28" s="491"/>
      <c r="AE28" s="491"/>
      <c r="AF28" s="492"/>
      <c r="AG28" s="428" t="s">
        <v>29</v>
      </c>
      <c r="AH28" s="429"/>
      <c r="AI28" s="429"/>
      <c r="AJ28" s="429"/>
      <c r="AK28" s="429"/>
      <c r="AL28" s="429"/>
      <c r="AM28" s="429"/>
      <c r="AN28" s="429"/>
      <c r="AO28" s="430"/>
    </row>
    <row r="29" spans="1:41" x14ac:dyDescent="0.2">
      <c r="B29" s="484"/>
      <c r="C29" s="485"/>
      <c r="D29" s="485"/>
      <c r="E29" s="486"/>
      <c r="F29" s="493"/>
      <c r="G29" s="494"/>
      <c r="H29" s="494"/>
      <c r="I29" s="494"/>
      <c r="J29" s="494"/>
      <c r="K29" s="495"/>
      <c r="L29" s="431">
        <v>1</v>
      </c>
      <c r="M29" s="432"/>
      <c r="N29" s="431">
        <v>2</v>
      </c>
      <c r="O29" s="432"/>
      <c r="P29" s="431">
        <v>3</v>
      </c>
      <c r="Q29" s="432"/>
      <c r="R29" s="477" t="s">
        <v>34</v>
      </c>
      <c r="S29" s="478"/>
      <c r="T29" s="32"/>
      <c r="U29" s="8"/>
      <c r="V29" s="484"/>
      <c r="W29" s="485"/>
      <c r="X29" s="485"/>
      <c r="Y29" s="485"/>
      <c r="Z29" s="485"/>
      <c r="AA29" s="486"/>
      <c r="AB29" s="493"/>
      <c r="AC29" s="494"/>
      <c r="AD29" s="494"/>
      <c r="AE29" s="494"/>
      <c r="AF29" s="495"/>
      <c r="AG29" s="431">
        <v>1</v>
      </c>
      <c r="AH29" s="432"/>
      <c r="AI29" s="431">
        <v>2</v>
      </c>
      <c r="AJ29" s="432"/>
      <c r="AK29" s="431">
        <v>3</v>
      </c>
      <c r="AL29" s="432"/>
      <c r="AM29" s="435" t="s">
        <v>34</v>
      </c>
      <c r="AN29" s="436"/>
      <c r="AO29" s="437"/>
    </row>
    <row r="30" spans="1:41" ht="13.5" thickBot="1" x14ac:dyDescent="0.25">
      <c r="B30" s="487"/>
      <c r="C30" s="488"/>
      <c r="D30" s="488"/>
      <c r="E30" s="489"/>
      <c r="F30" s="496"/>
      <c r="G30" s="497"/>
      <c r="H30" s="497"/>
      <c r="I30" s="497"/>
      <c r="J30" s="497"/>
      <c r="K30" s="498"/>
      <c r="L30" s="433"/>
      <c r="M30" s="434"/>
      <c r="N30" s="433"/>
      <c r="O30" s="434"/>
      <c r="P30" s="433"/>
      <c r="Q30" s="434"/>
      <c r="R30" s="479"/>
      <c r="S30" s="480"/>
      <c r="T30" s="32"/>
      <c r="U30" s="8"/>
      <c r="V30" s="487"/>
      <c r="W30" s="488"/>
      <c r="X30" s="488"/>
      <c r="Y30" s="488"/>
      <c r="Z30" s="488"/>
      <c r="AA30" s="489"/>
      <c r="AB30" s="496"/>
      <c r="AC30" s="497"/>
      <c r="AD30" s="497"/>
      <c r="AE30" s="497"/>
      <c r="AF30" s="498"/>
      <c r="AG30" s="433"/>
      <c r="AH30" s="434"/>
      <c r="AI30" s="433"/>
      <c r="AJ30" s="434"/>
      <c r="AK30" s="433"/>
      <c r="AL30" s="434"/>
      <c r="AM30" s="438"/>
      <c r="AN30" s="439"/>
      <c r="AO30" s="440"/>
    </row>
    <row r="31" spans="1:41" ht="24.95" customHeight="1" x14ac:dyDescent="0.2">
      <c r="B31" s="499">
        <v>83470</v>
      </c>
      <c r="C31" s="500"/>
      <c r="D31" s="500"/>
      <c r="E31" s="501"/>
      <c r="F31" s="502"/>
      <c r="G31" s="503"/>
      <c r="H31" s="503"/>
      <c r="I31" s="503"/>
      <c r="J31" s="503"/>
      <c r="K31" s="504"/>
      <c r="L31" s="505">
        <v>3</v>
      </c>
      <c r="M31" s="506"/>
      <c r="N31" s="505">
        <v>2</v>
      </c>
      <c r="O31" s="506"/>
      <c r="P31" s="505">
        <v>2</v>
      </c>
      <c r="Q31" s="506"/>
      <c r="R31" s="441">
        <f>AVERAGE(L31:Q31)</f>
        <v>2.3333333333333335</v>
      </c>
      <c r="S31" s="442"/>
      <c r="T31" s="35"/>
      <c r="U31" s="36"/>
      <c r="V31" s="474">
        <f>B51+200</f>
        <v>87600</v>
      </c>
      <c r="W31" s="475"/>
      <c r="X31" s="475"/>
      <c r="Y31" s="475"/>
      <c r="Z31" s="475"/>
      <c r="AA31" s="476"/>
      <c r="AB31" s="505"/>
      <c r="AC31" s="513"/>
      <c r="AD31" s="513"/>
      <c r="AE31" s="513"/>
      <c r="AF31" s="506"/>
      <c r="AG31" s="505">
        <v>3</v>
      </c>
      <c r="AH31" s="506"/>
      <c r="AI31" s="505">
        <v>2</v>
      </c>
      <c r="AJ31" s="506"/>
      <c r="AK31" s="505">
        <v>3</v>
      </c>
      <c r="AL31" s="506"/>
      <c r="AM31" s="443">
        <f>AVERAGE(AG31:AL31)</f>
        <v>2.6666666666666665</v>
      </c>
      <c r="AN31" s="444"/>
      <c r="AO31" s="445"/>
    </row>
    <row r="32" spans="1:41" ht="24.95" customHeight="1" x14ac:dyDescent="0.2">
      <c r="B32" s="507">
        <f>B31+130</f>
        <v>83600</v>
      </c>
      <c r="C32" s="508"/>
      <c r="D32" s="508"/>
      <c r="E32" s="509"/>
      <c r="F32" s="470"/>
      <c r="G32" s="510"/>
      <c r="H32" s="510"/>
      <c r="I32" s="510"/>
      <c r="J32" s="510"/>
      <c r="K32" s="471"/>
      <c r="L32" s="470">
        <v>3</v>
      </c>
      <c r="M32" s="471"/>
      <c r="N32" s="470">
        <v>2</v>
      </c>
      <c r="O32" s="471"/>
      <c r="P32" s="470">
        <v>2</v>
      </c>
      <c r="Q32" s="471"/>
      <c r="R32" s="472">
        <f>AVERAGE(L32:Q32)</f>
        <v>2.3333333333333335</v>
      </c>
      <c r="S32" s="473"/>
      <c r="T32" s="35"/>
      <c r="U32" s="36"/>
      <c r="V32" s="507">
        <f>V31+200</f>
        <v>87800</v>
      </c>
      <c r="W32" s="508"/>
      <c r="X32" s="508"/>
      <c r="Y32" s="508"/>
      <c r="Z32" s="508"/>
      <c r="AA32" s="509"/>
      <c r="AB32" s="470"/>
      <c r="AC32" s="510"/>
      <c r="AD32" s="510"/>
      <c r="AE32" s="510"/>
      <c r="AF32" s="471"/>
      <c r="AG32" s="470">
        <v>3</v>
      </c>
      <c r="AH32" s="471"/>
      <c r="AI32" s="470">
        <v>2</v>
      </c>
      <c r="AJ32" s="471"/>
      <c r="AK32" s="470">
        <v>3</v>
      </c>
      <c r="AL32" s="471"/>
      <c r="AM32" s="472">
        <f>AVERAGE(AG32:AL32)</f>
        <v>2.6666666666666665</v>
      </c>
      <c r="AN32" s="522"/>
      <c r="AO32" s="473"/>
    </row>
    <row r="33" spans="2:41" ht="24.95" customHeight="1" x14ac:dyDescent="0.2">
      <c r="B33" s="507">
        <f t="shared" ref="B33:B51" si="0">B32+200</f>
        <v>83800</v>
      </c>
      <c r="C33" s="508"/>
      <c r="D33" s="508"/>
      <c r="E33" s="509"/>
      <c r="F33" s="470"/>
      <c r="G33" s="510"/>
      <c r="H33" s="510"/>
      <c r="I33" s="510"/>
      <c r="J33" s="510"/>
      <c r="K33" s="471"/>
      <c r="L33" s="511">
        <v>3</v>
      </c>
      <c r="M33" s="512"/>
      <c r="N33" s="511">
        <v>2</v>
      </c>
      <c r="O33" s="512"/>
      <c r="P33" s="511">
        <v>2</v>
      </c>
      <c r="Q33" s="512"/>
      <c r="R33" s="472">
        <f t="shared" ref="R33:R50" si="1">AVERAGE(L33:Q33)</f>
        <v>2.3333333333333335</v>
      </c>
      <c r="S33" s="473"/>
      <c r="T33" s="35"/>
      <c r="U33" s="36"/>
      <c r="V33" s="507">
        <f t="shared" ref="V33:V51" si="2">V32+200</f>
        <v>88000</v>
      </c>
      <c r="W33" s="508"/>
      <c r="X33" s="508"/>
      <c r="Y33" s="508"/>
      <c r="Z33" s="508"/>
      <c r="AA33" s="509"/>
      <c r="AB33" s="470"/>
      <c r="AC33" s="510"/>
      <c r="AD33" s="510"/>
      <c r="AE33" s="510"/>
      <c r="AF33" s="471"/>
      <c r="AG33" s="470">
        <v>3</v>
      </c>
      <c r="AH33" s="471"/>
      <c r="AI33" s="470">
        <v>2</v>
      </c>
      <c r="AJ33" s="471"/>
      <c r="AK33" s="470">
        <v>3</v>
      </c>
      <c r="AL33" s="471"/>
      <c r="AM33" s="472">
        <f t="shared" ref="AM33:AM50" si="3">AVERAGE(AG33:AL33)</f>
        <v>2.6666666666666665</v>
      </c>
      <c r="AN33" s="522"/>
      <c r="AO33" s="473"/>
    </row>
    <row r="34" spans="2:41" ht="24.95" customHeight="1" x14ac:dyDescent="0.2">
      <c r="B34" s="507">
        <f t="shared" si="0"/>
        <v>84000</v>
      </c>
      <c r="C34" s="508"/>
      <c r="D34" s="508"/>
      <c r="E34" s="509"/>
      <c r="F34" s="470"/>
      <c r="G34" s="510"/>
      <c r="H34" s="510"/>
      <c r="I34" s="510"/>
      <c r="J34" s="510"/>
      <c r="K34" s="471"/>
      <c r="L34" s="470">
        <v>3</v>
      </c>
      <c r="M34" s="471"/>
      <c r="N34" s="470">
        <v>2</v>
      </c>
      <c r="O34" s="471"/>
      <c r="P34" s="470">
        <v>3</v>
      </c>
      <c r="Q34" s="471"/>
      <c r="R34" s="472">
        <f t="shared" si="1"/>
        <v>2.6666666666666665</v>
      </c>
      <c r="S34" s="473"/>
      <c r="T34" s="35"/>
      <c r="U34" s="36"/>
      <c r="V34" s="507">
        <f t="shared" si="2"/>
        <v>88200</v>
      </c>
      <c r="W34" s="508"/>
      <c r="X34" s="508"/>
      <c r="Y34" s="508"/>
      <c r="Z34" s="508"/>
      <c r="AA34" s="509"/>
      <c r="AB34" s="470"/>
      <c r="AC34" s="510"/>
      <c r="AD34" s="510"/>
      <c r="AE34" s="510"/>
      <c r="AF34" s="471"/>
      <c r="AG34" s="470">
        <v>3</v>
      </c>
      <c r="AH34" s="471"/>
      <c r="AI34" s="470">
        <v>2</v>
      </c>
      <c r="AJ34" s="471"/>
      <c r="AK34" s="470">
        <v>3</v>
      </c>
      <c r="AL34" s="471"/>
      <c r="AM34" s="472">
        <f t="shared" si="3"/>
        <v>2.6666666666666665</v>
      </c>
      <c r="AN34" s="522"/>
      <c r="AO34" s="473"/>
    </row>
    <row r="35" spans="2:41" ht="24.95" customHeight="1" x14ac:dyDescent="0.2">
      <c r="B35" s="507">
        <f t="shared" si="0"/>
        <v>84200</v>
      </c>
      <c r="C35" s="508"/>
      <c r="D35" s="508"/>
      <c r="E35" s="509"/>
      <c r="F35" s="470"/>
      <c r="G35" s="510"/>
      <c r="H35" s="510"/>
      <c r="I35" s="510"/>
      <c r="J35" s="510"/>
      <c r="K35" s="471"/>
      <c r="L35" s="470">
        <v>3</v>
      </c>
      <c r="M35" s="471"/>
      <c r="N35" s="470">
        <v>2</v>
      </c>
      <c r="O35" s="471"/>
      <c r="P35" s="470">
        <v>3</v>
      </c>
      <c r="Q35" s="471"/>
      <c r="R35" s="472">
        <f t="shared" si="1"/>
        <v>2.6666666666666665</v>
      </c>
      <c r="S35" s="473"/>
      <c r="T35" s="35"/>
      <c r="U35" s="36"/>
      <c r="V35" s="507">
        <f t="shared" si="2"/>
        <v>88400</v>
      </c>
      <c r="W35" s="508"/>
      <c r="X35" s="508"/>
      <c r="Y35" s="508"/>
      <c r="Z35" s="508"/>
      <c r="AA35" s="509"/>
      <c r="AB35" s="470"/>
      <c r="AC35" s="510"/>
      <c r="AD35" s="510"/>
      <c r="AE35" s="510"/>
      <c r="AF35" s="471"/>
      <c r="AG35" s="470">
        <v>3</v>
      </c>
      <c r="AH35" s="471"/>
      <c r="AI35" s="470">
        <v>2</v>
      </c>
      <c r="AJ35" s="471"/>
      <c r="AK35" s="470">
        <v>3</v>
      </c>
      <c r="AL35" s="471"/>
      <c r="AM35" s="472">
        <f t="shared" si="3"/>
        <v>2.6666666666666665</v>
      </c>
      <c r="AN35" s="522"/>
      <c r="AO35" s="473"/>
    </row>
    <row r="36" spans="2:41" ht="24" customHeight="1" x14ac:dyDescent="0.2">
      <c r="B36" s="507">
        <f t="shared" si="0"/>
        <v>84400</v>
      </c>
      <c r="C36" s="508"/>
      <c r="D36" s="508"/>
      <c r="E36" s="509"/>
      <c r="F36" s="470"/>
      <c r="G36" s="510"/>
      <c r="H36" s="510"/>
      <c r="I36" s="510"/>
      <c r="J36" s="510"/>
      <c r="K36" s="471"/>
      <c r="L36" s="470">
        <v>3</v>
      </c>
      <c r="M36" s="471"/>
      <c r="N36" s="470">
        <v>2</v>
      </c>
      <c r="O36" s="471"/>
      <c r="P36" s="470">
        <v>3</v>
      </c>
      <c r="Q36" s="471"/>
      <c r="R36" s="472">
        <f t="shared" si="1"/>
        <v>2.6666666666666665</v>
      </c>
      <c r="S36" s="473"/>
      <c r="T36" s="35"/>
      <c r="U36" s="36"/>
      <c r="V36" s="507">
        <f t="shared" si="2"/>
        <v>88600</v>
      </c>
      <c r="W36" s="508"/>
      <c r="X36" s="508"/>
      <c r="Y36" s="508"/>
      <c r="Z36" s="508"/>
      <c r="AA36" s="509"/>
      <c r="AB36" s="470"/>
      <c r="AC36" s="510"/>
      <c r="AD36" s="510"/>
      <c r="AE36" s="510"/>
      <c r="AF36" s="471"/>
      <c r="AG36" s="470">
        <v>3</v>
      </c>
      <c r="AH36" s="471"/>
      <c r="AI36" s="470">
        <v>2</v>
      </c>
      <c r="AJ36" s="471"/>
      <c r="AK36" s="470">
        <v>3</v>
      </c>
      <c r="AL36" s="471"/>
      <c r="AM36" s="472">
        <f t="shared" si="3"/>
        <v>2.6666666666666665</v>
      </c>
      <c r="AN36" s="522"/>
      <c r="AO36" s="473"/>
    </row>
    <row r="37" spans="2:41" ht="24.95" customHeight="1" x14ac:dyDescent="0.2">
      <c r="B37" s="507">
        <f t="shared" si="0"/>
        <v>84600</v>
      </c>
      <c r="C37" s="508"/>
      <c r="D37" s="508"/>
      <c r="E37" s="509"/>
      <c r="F37" s="470"/>
      <c r="G37" s="510"/>
      <c r="H37" s="510"/>
      <c r="I37" s="510"/>
      <c r="J37" s="510"/>
      <c r="K37" s="471"/>
      <c r="L37" s="470">
        <v>3</v>
      </c>
      <c r="M37" s="471"/>
      <c r="N37" s="470">
        <v>2</v>
      </c>
      <c r="O37" s="471"/>
      <c r="P37" s="470">
        <v>3</v>
      </c>
      <c r="Q37" s="471"/>
      <c r="R37" s="472">
        <f t="shared" si="1"/>
        <v>2.6666666666666665</v>
      </c>
      <c r="S37" s="473"/>
      <c r="T37" s="35"/>
      <c r="U37" s="36"/>
      <c r="V37" s="507">
        <f t="shared" si="2"/>
        <v>88800</v>
      </c>
      <c r="W37" s="508"/>
      <c r="X37" s="508"/>
      <c r="Y37" s="508"/>
      <c r="Z37" s="508"/>
      <c r="AA37" s="509"/>
      <c r="AB37" s="470"/>
      <c r="AC37" s="510"/>
      <c r="AD37" s="510"/>
      <c r="AE37" s="510"/>
      <c r="AF37" s="471"/>
      <c r="AG37" s="470">
        <v>3</v>
      </c>
      <c r="AH37" s="471"/>
      <c r="AI37" s="470">
        <v>2</v>
      </c>
      <c r="AJ37" s="471"/>
      <c r="AK37" s="470">
        <v>3</v>
      </c>
      <c r="AL37" s="471"/>
      <c r="AM37" s="472">
        <f t="shared" si="3"/>
        <v>2.6666666666666665</v>
      </c>
      <c r="AN37" s="522"/>
      <c r="AO37" s="473"/>
    </row>
    <row r="38" spans="2:41" ht="24.95" customHeight="1" x14ac:dyDescent="0.2">
      <c r="B38" s="507">
        <f t="shared" si="0"/>
        <v>84800</v>
      </c>
      <c r="C38" s="508"/>
      <c r="D38" s="508"/>
      <c r="E38" s="509"/>
      <c r="F38" s="470"/>
      <c r="G38" s="510"/>
      <c r="H38" s="510"/>
      <c r="I38" s="510"/>
      <c r="J38" s="510"/>
      <c r="K38" s="471"/>
      <c r="L38" s="470">
        <v>3</v>
      </c>
      <c r="M38" s="471"/>
      <c r="N38" s="470">
        <v>2</v>
      </c>
      <c r="O38" s="471"/>
      <c r="P38" s="470">
        <v>3</v>
      </c>
      <c r="Q38" s="471"/>
      <c r="R38" s="472">
        <f t="shared" si="1"/>
        <v>2.6666666666666665</v>
      </c>
      <c r="S38" s="473"/>
      <c r="T38" s="35"/>
      <c r="U38" s="36"/>
      <c r="V38" s="507">
        <f t="shared" si="2"/>
        <v>89000</v>
      </c>
      <c r="W38" s="508"/>
      <c r="X38" s="508"/>
      <c r="Y38" s="508"/>
      <c r="Z38" s="508"/>
      <c r="AA38" s="509"/>
      <c r="AB38" s="470"/>
      <c r="AC38" s="510"/>
      <c r="AD38" s="510"/>
      <c r="AE38" s="510"/>
      <c r="AF38" s="471"/>
      <c r="AG38" s="470">
        <v>3</v>
      </c>
      <c r="AH38" s="471"/>
      <c r="AI38" s="470">
        <v>2</v>
      </c>
      <c r="AJ38" s="471"/>
      <c r="AK38" s="470">
        <v>3</v>
      </c>
      <c r="AL38" s="471"/>
      <c r="AM38" s="472">
        <f t="shared" si="3"/>
        <v>2.6666666666666665</v>
      </c>
      <c r="AN38" s="522"/>
      <c r="AO38" s="473"/>
    </row>
    <row r="39" spans="2:41" ht="24.95" customHeight="1" x14ac:dyDescent="0.2">
      <c r="B39" s="507">
        <f t="shared" si="0"/>
        <v>85000</v>
      </c>
      <c r="C39" s="508"/>
      <c r="D39" s="508"/>
      <c r="E39" s="509"/>
      <c r="F39" s="470"/>
      <c r="G39" s="510"/>
      <c r="H39" s="510"/>
      <c r="I39" s="510"/>
      <c r="J39" s="510"/>
      <c r="K39" s="471"/>
      <c r="L39" s="470">
        <v>3</v>
      </c>
      <c r="M39" s="471"/>
      <c r="N39" s="470">
        <v>2</v>
      </c>
      <c r="O39" s="471"/>
      <c r="P39" s="470">
        <v>3</v>
      </c>
      <c r="Q39" s="471"/>
      <c r="R39" s="472">
        <f t="shared" si="1"/>
        <v>2.6666666666666665</v>
      </c>
      <c r="S39" s="473"/>
      <c r="T39" s="35"/>
      <c r="U39" s="36"/>
      <c r="V39" s="507">
        <f t="shared" si="2"/>
        <v>89200</v>
      </c>
      <c r="W39" s="508"/>
      <c r="X39" s="508"/>
      <c r="Y39" s="508"/>
      <c r="Z39" s="508"/>
      <c r="AA39" s="509"/>
      <c r="AB39" s="470"/>
      <c r="AC39" s="510"/>
      <c r="AD39" s="510"/>
      <c r="AE39" s="510"/>
      <c r="AF39" s="471"/>
      <c r="AG39" s="470">
        <v>3</v>
      </c>
      <c r="AH39" s="471"/>
      <c r="AI39" s="470">
        <v>2</v>
      </c>
      <c r="AJ39" s="471"/>
      <c r="AK39" s="470">
        <v>3</v>
      </c>
      <c r="AL39" s="471"/>
      <c r="AM39" s="472">
        <f t="shared" si="3"/>
        <v>2.6666666666666665</v>
      </c>
      <c r="AN39" s="522"/>
      <c r="AO39" s="473"/>
    </row>
    <row r="40" spans="2:41" ht="24.95" customHeight="1" x14ac:dyDescent="0.2">
      <c r="B40" s="507">
        <f t="shared" si="0"/>
        <v>85200</v>
      </c>
      <c r="C40" s="508"/>
      <c r="D40" s="508"/>
      <c r="E40" s="509"/>
      <c r="F40" s="470"/>
      <c r="G40" s="510"/>
      <c r="H40" s="510"/>
      <c r="I40" s="510"/>
      <c r="J40" s="510"/>
      <c r="K40" s="471"/>
      <c r="L40" s="470">
        <v>3</v>
      </c>
      <c r="M40" s="471"/>
      <c r="N40" s="470">
        <v>2</v>
      </c>
      <c r="O40" s="471"/>
      <c r="P40" s="470">
        <v>3</v>
      </c>
      <c r="Q40" s="471"/>
      <c r="R40" s="472">
        <f t="shared" si="1"/>
        <v>2.6666666666666665</v>
      </c>
      <c r="S40" s="473"/>
      <c r="T40" s="35"/>
      <c r="U40" s="36"/>
      <c r="V40" s="507">
        <f t="shared" si="2"/>
        <v>89400</v>
      </c>
      <c r="W40" s="508"/>
      <c r="X40" s="508"/>
      <c r="Y40" s="508"/>
      <c r="Z40" s="508"/>
      <c r="AA40" s="509"/>
      <c r="AB40" s="470"/>
      <c r="AC40" s="510"/>
      <c r="AD40" s="510"/>
      <c r="AE40" s="510"/>
      <c r="AF40" s="471"/>
      <c r="AG40" s="470">
        <v>3</v>
      </c>
      <c r="AH40" s="471"/>
      <c r="AI40" s="470">
        <v>2</v>
      </c>
      <c r="AJ40" s="471"/>
      <c r="AK40" s="470">
        <v>3</v>
      </c>
      <c r="AL40" s="471"/>
      <c r="AM40" s="472">
        <f t="shared" si="3"/>
        <v>2.6666666666666665</v>
      </c>
      <c r="AN40" s="522"/>
      <c r="AO40" s="473"/>
    </row>
    <row r="41" spans="2:41" ht="24.95" customHeight="1" x14ac:dyDescent="0.2">
      <c r="B41" s="507">
        <f t="shared" si="0"/>
        <v>85400</v>
      </c>
      <c r="C41" s="508"/>
      <c r="D41" s="508"/>
      <c r="E41" s="509"/>
      <c r="F41" s="470"/>
      <c r="G41" s="510"/>
      <c r="H41" s="510"/>
      <c r="I41" s="510"/>
      <c r="J41" s="510"/>
      <c r="K41" s="471"/>
      <c r="L41" s="470">
        <v>3</v>
      </c>
      <c r="M41" s="471"/>
      <c r="N41" s="470">
        <v>2</v>
      </c>
      <c r="O41" s="471"/>
      <c r="P41" s="470">
        <v>3</v>
      </c>
      <c r="Q41" s="471"/>
      <c r="R41" s="472">
        <f t="shared" si="1"/>
        <v>2.6666666666666665</v>
      </c>
      <c r="S41" s="473"/>
      <c r="T41" s="35"/>
      <c r="U41" s="36"/>
      <c r="V41" s="507">
        <f t="shared" si="2"/>
        <v>89600</v>
      </c>
      <c r="W41" s="508"/>
      <c r="X41" s="508"/>
      <c r="Y41" s="508"/>
      <c r="Z41" s="508"/>
      <c r="AA41" s="509"/>
      <c r="AB41" s="470"/>
      <c r="AC41" s="510"/>
      <c r="AD41" s="510"/>
      <c r="AE41" s="510"/>
      <c r="AF41" s="471"/>
      <c r="AG41" s="470">
        <v>3</v>
      </c>
      <c r="AH41" s="471"/>
      <c r="AI41" s="470">
        <v>2</v>
      </c>
      <c r="AJ41" s="471"/>
      <c r="AK41" s="470">
        <v>3</v>
      </c>
      <c r="AL41" s="471"/>
      <c r="AM41" s="472">
        <f t="shared" si="3"/>
        <v>2.6666666666666665</v>
      </c>
      <c r="AN41" s="522"/>
      <c r="AO41" s="473"/>
    </row>
    <row r="42" spans="2:41" ht="24.95" customHeight="1" x14ac:dyDescent="0.2">
      <c r="B42" s="507">
        <f t="shared" si="0"/>
        <v>85600</v>
      </c>
      <c r="C42" s="508"/>
      <c r="D42" s="508"/>
      <c r="E42" s="509"/>
      <c r="F42" s="470"/>
      <c r="G42" s="510"/>
      <c r="H42" s="510"/>
      <c r="I42" s="510"/>
      <c r="J42" s="510"/>
      <c r="K42" s="471"/>
      <c r="L42" s="470">
        <v>2</v>
      </c>
      <c r="M42" s="471"/>
      <c r="N42" s="470">
        <v>2</v>
      </c>
      <c r="O42" s="471"/>
      <c r="P42" s="470">
        <v>3</v>
      </c>
      <c r="Q42" s="471"/>
      <c r="R42" s="472">
        <f t="shared" si="1"/>
        <v>2.3333333333333335</v>
      </c>
      <c r="S42" s="473"/>
      <c r="T42" s="35"/>
      <c r="U42" s="36"/>
      <c r="V42" s="507">
        <f t="shared" si="2"/>
        <v>89800</v>
      </c>
      <c r="W42" s="508"/>
      <c r="X42" s="508"/>
      <c r="Y42" s="508"/>
      <c r="Z42" s="508"/>
      <c r="AA42" s="509"/>
      <c r="AB42" s="470"/>
      <c r="AC42" s="510"/>
      <c r="AD42" s="510"/>
      <c r="AE42" s="510"/>
      <c r="AF42" s="471"/>
      <c r="AG42" s="470">
        <v>3</v>
      </c>
      <c r="AH42" s="471"/>
      <c r="AI42" s="470">
        <v>2</v>
      </c>
      <c r="AJ42" s="471"/>
      <c r="AK42" s="470">
        <v>3</v>
      </c>
      <c r="AL42" s="471"/>
      <c r="AM42" s="472">
        <f t="shared" si="3"/>
        <v>2.6666666666666665</v>
      </c>
      <c r="AN42" s="522"/>
      <c r="AO42" s="473"/>
    </row>
    <row r="43" spans="2:41" ht="24.95" customHeight="1" x14ac:dyDescent="0.2">
      <c r="B43" s="507">
        <f t="shared" si="0"/>
        <v>85800</v>
      </c>
      <c r="C43" s="508"/>
      <c r="D43" s="508"/>
      <c r="E43" s="509"/>
      <c r="F43" s="470"/>
      <c r="G43" s="510"/>
      <c r="H43" s="510"/>
      <c r="I43" s="510"/>
      <c r="J43" s="510"/>
      <c r="K43" s="471"/>
      <c r="L43" s="470">
        <v>3</v>
      </c>
      <c r="M43" s="471"/>
      <c r="N43" s="470">
        <v>2</v>
      </c>
      <c r="O43" s="471"/>
      <c r="P43" s="470">
        <v>2</v>
      </c>
      <c r="Q43" s="471"/>
      <c r="R43" s="472">
        <f t="shared" si="1"/>
        <v>2.3333333333333335</v>
      </c>
      <c r="S43" s="473"/>
      <c r="T43" s="35"/>
      <c r="U43" s="36"/>
      <c r="V43" s="507">
        <f t="shared" si="2"/>
        <v>90000</v>
      </c>
      <c r="W43" s="508"/>
      <c r="X43" s="508"/>
      <c r="Y43" s="508"/>
      <c r="Z43" s="508"/>
      <c r="AA43" s="509"/>
      <c r="AB43" s="470"/>
      <c r="AC43" s="510"/>
      <c r="AD43" s="510"/>
      <c r="AE43" s="510"/>
      <c r="AF43" s="471"/>
      <c r="AG43" s="470">
        <v>3</v>
      </c>
      <c r="AH43" s="471"/>
      <c r="AI43" s="470">
        <v>2</v>
      </c>
      <c r="AJ43" s="471"/>
      <c r="AK43" s="470">
        <v>3</v>
      </c>
      <c r="AL43" s="471"/>
      <c r="AM43" s="472">
        <f t="shared" si="3"/>
        <v>2.6666666666666665</v>
      </c>
      <c r="AN43" s="522"/>
      <c r="AO43" s="473"/>
    </row>
    <row r="44" spans="2:41" ht="24.95" customHeight="1" x14ac:dyDescent="0.2">
      <c r="B44" s="507">
        <f t="shared" si="0"/>
        <v>86000</v>
      </c>
      <c r="C44" s="508"/>
      <c r="D44" s="508"/>
      <c r="E44" s="509"/>
      <c r="F44" s="470"/>
      <c r="G44" s="510"/>
      <c r="H44" s="510"/>
      <c r="I44" s="510"/>
      <c r="J44" s="510"/>
      <c r="K44" s="471"/>
      <c r="L44" s="470">
        <v>3</v>
      </c>
      <c r="M44" s="471"/>
      <c r="N44" s="470">
        <v>2</v>
      </c>
      <c r="O44" s="471"/>
      <c r="P44" s="470">
        <v>3</v>
      </c>
      <c r="Q44" s="471"/>
      <c r="R44" s="472">
        <f t="shared" si="1"/>
        <v>2.6666666666666665</v>
      </c>
      <c r="S44" s="473"/>
      <c r="T44" s="35"/>
      <c r="U44" s="36"/>
      <c r="V44" s="507">
        <f t="shared" si="2"/>
        <v>90200</v>
      </c>
      <c r="W44" s="508"/>
      <c r="X44" s="508"/>
      <c r="Y44" s="508"/>
      <c r="Z44" s="508"/>
      <c r="AA44" s="509"/>
      <c r="AB44" s="470"/>
      <c r="AC44" s="510"/>
      <c r="AD44" s="510"/>
      <c r="AE44" s="510"/>
      <c r="AF44" s="471"/>
      <c r="AG44" s="470">
        <v>3</v>
      </c>
      <c r="AH44" s="471"/>
      <c r="AI44" s="470">
        <v>2</v>
      </c>
      <c r="AJ44" s="471"/>
      <c r="AK44" s="470">
        <v>3</v>
      </c>
      <c r="AL44" s="471"/>
      <c r="AM44" s="472">
        <f t="shared" si="3"/>
        <v>2.6666666666666665</v>
      </c>
      <c r="AN44" s="522"/>
      <c r="AO44" s="473"/>
    </row>
    <row r="45" spans="2:41" ht="24.95" customHeight="1" x14ac:dyDescent="0.2">
      <c r="B45" s="507">
        <f t="shared" si="0"/>
        <v>86200</v>
      </c>
      <c r="C45" s="508"/>
      <c r="D45" s="508"/>
      <c r="E45" s="509"/>
      <c r="F45" s="470"/>
      <c r="G45" s="510"/>
      <c r="H45" s="510"/>
      <c r="I45" s="510"/>
      <c r="J45" s="510"/>
      <c r="K45" s="471"/>
      <c r="L45" s="470">
        <v>2</v>
      </c>
      <c r="M45" s="471"/>
      <c r="N45" s="470">
        <v>2</v>
      </c>
      <c r="O45" s="471"/>
      <c r="P45" s="470">
        <v>3</v>
      </c>
      <c r="Q45" s="471"/>
      <c r="R45" s="472">
        <f>AVERAGE(L45:Q45)</f>
        <v>2.3333333333333335</v>
      </c>
      <c r="S45" s="473"/>
      <c r="T45" s="35"/>
      <c r="U45" s="36"/>
      <c r="V45" s="507">
        <f t="shared" si="2"/>
        <v>90400</v>
      </c>
      <c r="W45" s="508"/>
      <c r="X45" s="508"/>
      <c r="Y45" s="508"/>
      <c r="Z45" s="508"/>
      <c r="AA45" s="509"/>
      <c r="AB45" s="470"/>
      <c r="AC45" s="510"/>
      <c r="AD45" s="510"/>
      <c r="AE45" s="510"/>
      <c r="AF45" s="471"/>
      <c r="AG45" s="470">
        <v>3</v>
      </c>
      <c r="AH45" s="471"/>
      <c r="AI45" s="470">
        <v>2</v>
      </c>
      <c r="AJ45" s="471"/>
      <c r="AK45" s="470">
        <v>3</v>
      </c>
      <c r="AL45" s="471"/>
      <c r="AM45" s="472">
        <f t="shared" si="3"/>
        <v>2.6666666666666665</v>
      </c>
      <c r="AN45" s="522"/>
      <c r="AO45" s="473"/>
    </row>
    <row r="46" spans="2:41" ht="24.95" customHeight="1" x14ac:dyDescent="0.2">
      <c r="B46" s="507">
        <f t="shared" si="0"/>
        <v>86400</v>
      </c>
      <c r="C46" s="508"/>
      <c r="D46" s="508"/>
      <c r="E46" s="509"/>
      <c r="F46" s="470"/>
      <c r="G46" s="510"/>
      <c r="H46" s="510"/>
      <c r="I46" s="510"/>
      <c r="J46" s="510"/>
      <c r="K46" s="471"/>
      <c r="L46" s="470">
        <v>3</v>
      </c>
      <c r="M46" s="471"/>
      <c r="N46" s="470">
        <v>2</v>
      </c>
      <c r="O46" s="471"/>
      <c r="P46" s="470">
        <v>3</v>
      </c>
      <c r="Q46" s="471"/>
      <c r="R46" s="472">
        <f t="shared" si="1"/>
        <v>2.6666666666666665</v>
      </c>
      <c r="S46" s="473"/>
      <c r="T46" s="35"/>
      <c r="U46" s="36"/>
      <c r="V46" s="507">
        <f t="shared" si="2"/>
        <v>90600</v>
      </c>
      <c r="W46" s="508"/>
      <c r="X46" s="508"/>
      <c r="Y46" s="508"/>
      <c r="Z46" s="508"/>
      <c r="AA46" s="509"/>
      <c r="AB46" s="470"/>
      <c r="AC46" s="510"/>
      <c r="AD46" s="510"/>
      <c r="AE46" s="510"/>
      <c r="AF46" s="471"/>
      <c r="AG46" s="470">
        <v>3</v>
      </c>
      <c r="AH46" s="471"/>
      <c r="AI46" s="470">
        <v>2</v>
      </c>
      <c r="AJ46" s="471"/>
      <c r="AK46" s="470">
        <v>3</v>
      </c>
      <c r="AL46" s="471"/>
      <c r="AM46" s="472">
        <f t="shared" si="3"/>
        <v>2.6666666666666665</v>
      </c>
      <c r="AN46" s="522"/>
      <c r="AO46" s="473"/>
    </row>
    <row r="47" spans="2:41" ht="24.95" customHeight="1" x14ac:dyDescent="0.2">
      <c r="B47" s="507">
        <f t="shared" si="0"/>
        <v>86600</v>
      </c>
      <c r="C47" s="508"/>
      <c r="D47" s="508"/>
      <c r="E47" s="509"/>
      <c r="F47" s="470"/>
      <c r="G47" s="510"/>
      <c r="H47" s="510"/>
      <c r="I47" s="510"/>
      <c r="J47" s="510"/>
      <c r="K47" s="471"/>
      <c r="L47" s="470">
        <v>3</v>
      </c>
      <c r="M47" s="471"/>
      <c r="N47" s="470">
        <v>2</v>
      </c>
      <c r="O47" s="471"/>
      <c r="P47" s="470">
        <v>3</v>
      </c>
      <c r="Q47" s="471"/>
      <c r="R47" s="472">
        <f t="shared" si="1"/>
        <v>2.6666666666666665</v>
      </c>
      <c r="S47" s="473"/>
      <c r="T47" s="35"/>
      <c r="U47" s="36"/>
      <c r="V47" s="507">
        <f t="shared" si="2"/>
        <v>90800</v>
      </c>
      <c r="W47" s="508"/>
      <c r="X47" s="508"/>
      <c r="Y47" s="508"/>
      <c r="Z47" s="508"/>
      <c r="AA47" s="509"/>
      <c r="AB47" s="470"/>
      <c r="AC47" s="510"/>
      <c r="AD47" s="510"/>
      <c r="AE47" s="510"/>
      <c r="AF47" s="471"/>
      <c r="AG47" s="470">
        <v>3</v>
      </c>
      <c r="AH47" s="471"/>
      <c r="AI47" s="470">
        <v>2</v>
      </c>
      <c r="AJ47" s="471"/>
      <c r="AK47" s="470">
        <v>3</v>
      </c>
      <c r="AL47" s="471"/>
      <c r="AM47" s="472">
        <f t="shared" si="3"/>
        <v>2.6666666666666665</v>
      </c>
      <c r="AN47" s="522"/>
      <c r="AO47" s="473"/>
    </row>
    <row r="48" spans="2:41" ht="24.95" customHeight="1" x14ac:dyDescent="0.2">
      <c r="B48" s="507">
        <f t="shared" si="0"/>
        <v>86800</v>
      </c>
      <c r="C48" s="508"/>
      <c r="D48" s="508"/>
      <c r="E48" s="509"/>
      <c r="F48" s="470"/>
      <c r="G48" s="510"/>
      <c r="H48" s="510"/>
      <c r="I48" s="510"/>
      <c r="J48" s="510"/>
      <c r="K48" s="471"/>
      <c r="L48" s="470">
        <v>2</v>
      </c>
      <c r="M48" s="471"/>
      <c r="N48" s="470">
        <v>2</v>
      </c>
      <c r="O48" s="471"/>
      <c r="P48" s="470">
        <v>3</v>
      </c>
      <c r="Q48" s="471"/>
      <c r="R48" s="472">
        <f t="shared" si="1"/>
        <v>2.3333333333333335</v>
      </c>
      <c r="S48" s="473"/>
      <c r="T48" s="35"/>
      <c r="U48" s="36"/>
      <c r="V48" s="507">
        <f t="shared" si="2"/>
        <v>91000</v>
      </c>
      <c r="W48" s="508"/>
      <c r="X48" s="508"/>
      <c r="Y48" s="508"/>
      <c r="Z48" s="508"/>
      <c r="AA48" s="509"/>
      <c r="AB48" s="470"/>
      <c r="AC48" s="510"/>
      <c r="AD48" s="510"/>
      <c r="AE48" s="510"/>
      <c r="AF48" s="471"/>
      <c r="AG48" s="470">
        <v>3</v>
      </c>
      <c r="AH48" s="471"/>
      <c r="AI48" s="470">
        <v>2</v>
      </c>
      <c r="AJ48" s="471"/>
      <c r="AK48" s="470">
        <v>3</v>
      </c>
      <c r="AL48" s="471"/>
      <c r="AM48" s="472">
        <f t="shared" si="3"/>
        <v>2.6666666666666665</v>
      </c>
      <c r="AN48" s="522"/>
      <c r="AO48" s="473"/>
    </row>
    <row r="49" spans="2:41" ht="24.95" customHeight="1" x14ac:dyDescent="0.2">
      <c r="B49" s="507">
        <f t="shared" si="0"/>
        <v>87000</v>
      </c>
      <c r="C49" s="508"/>
      <c r="D49" s="508"/>
      <c r="E49" s="509"/>
      <c r="F49" s="470"/>
      <c r="G49" s="510"/>
      <c r="H49" s="510"/>
      <c r="I49" s="510"/>
      <c r="J49" s="510"/>
      <c r="K49" s="471"/>
      <c r="L49" s="470">
        <v>3</v>
      </c>
      <c r="M49" s="471"/>
      <c r="N49" s="470">
        <v>2</v>
      </c>
      <c r="O49" s="471"/>
      <c r="P49" s="470">
        <v>2</v>
      </c>
      <c r="Q49" s="471"/>
      <c r="R49" s="472">
        <f t="shared" si="1"/>
        <v>2.3333333333333335</v>
      </c>
      <c r="S49" s="473"/>
      <c r="T49" s="35"/>
      <c r="U49" s="36"/>
      <c r="V49" s="507">
        <f t="shared" si="2"/>
        <v>91200</v>
      </c>
      <c r="W49" s="508"/>
      <c r="X49" s="508"/>
      <c r="Y49" s="508"/>
      <c r="Z49" s="508"/>
      <c r="AA49" s="509"/>
      <c r="AB49" s="470"/>
      <c r="AC49" s="510"/>
      <c r="AD49" s="510"/>
      <c r="AE49" s="510"/>
      <c r="AF49" s="471"/>
      <c r="AG49" s="470">
        <v>3</v>
      </c>
      <c r="AH49" s="471"/>
      <c r="AI49" s="470">
        <v>2</v>
      </c>
      <c r="AJ49" s="471"/>
      <c r="AK49" s="470">
        <v>3</v>
      </c>
      <c r="AL49" s="471"/>
      <c r="AM49" s="472">
        <f t="shared" si="3"/>
        <v>2.6666666666666665</v>
      </c>
      <c r="AN49" s="522"/>
      <c r="AO49" s="473"/>
    </row>
    <row r="50" spans="2:41" ht="24.95" customHeight="1" x14ac:dyDescent="0.2">
      <c r="B50" s="507">
        <f t="shared" si="0"/>
        <v>87200</v>
      </c>
      <c r="C50" s="508"/>
      <c r="D50" s="508"/>
      <c r="E50" s="509"/>
      <c r="F50" s="470"/>
      <c r="G50" s="510"/>
      <c r="H50" s="510"/>
      <c r="I50" s="510"/>
      <c r="J50" s="510"/>
      <c r="K50" s="471"/>
      <c r="L50" s="470">
        <v>3</v>
      </c>
      <c r="M50" s="471"/>
      <c r="N50" s="470">
        <v>2</v>
      </c>
      <c r="O50" s="471"/>
      <c r="P50" s="470">
        <v>3</v>
      </c>
      <c r="Q50" s="471"/>
      <c r="R50" s="472">
        <f t="shared" si="1"/>
        <v>2.6666666666666665</v>
      </c>
      <c r="S50" s="473"/>
      <c r="T50" s="35"/>
      <c r="U50" s="36"/>
      <c r="V50" s="507">
        <f t="shared" si="2"/>
        <v>91400</v>
      </c>
      <c r="W50" s="508"/>
      <c r="X50" s="508"/>
      <c r="Y50" s="508"/>
      <c r="Z50" s="508"/>
      <c r="AA50" s="509"/>
      <c r="AB50" s="470"/>
      <c r="AC50" s="510"/>
      <c r="AD50" s="510"/>
      <c r="AE50" s="510"/>
      <c r="AF50" s="471"/>
      <c r="AG50" s="470">
        <v>3</v>
      </c>
      <c r="AH50" s="471"/>
      <c r="AI50" s="470">
        <v>2</v>
      </c>
      <c r="AJ50" s="471"/>
      <c r="AK50" s="470">
        <v>3</v>
      </c>
      <c r="AL50" s="471"/>
      <c r="AM50" s="472">
        <f t="shared" si="3"/>
        <v>2.6666666666666665</v>
      </c>
      <c r="AN50" s="522"/>
      <c r="AO50" s="473"/>
    </row>
    <row r="51" spans="2:41" ht="24.95" customHeight="1" thickBot="1" x14ac:dyDescent="0.25">
      <c r="B51" s="514">
        <f t="shared" si="0"/>
        <v>87400</v>
      </c>
      <c r="C51" s="515"/>
      <c r="D51" s="515"/>
      <c r="E51" s="516"/>
      <c r="F51" s="517"/>
      <c r="G51" s="518"/>
      <c r="H51" s="518"/>
      <c r="I51" s="518"/>
      <c r="J51" s="518"/>
      <c r="K51" s="519"/>
      <c r="L51" s="517">
        <v>3</v>
      </c>
      <c r="M51" s="519"/>
      <c r="N51" s="517">
        <v>2</v>
      </c>
      <c r="O51" s="519"/>
      <c r="P51" s="517">
        <v>2</v>
      </c>
      <c r="Q51" s="519"/>
      <c r="R51" s="520">
        <f>AVERAGE(L51:Q51)</f>
        <v>2.3333333333333335</v>
      </c>
      <c r="S51" s="521"/>
      <c r="T51" s="35"/>
      <c r="U51" s="36"/>
      <c r="V51" s="514">
        <f t="shared" si="2"/>
        <v>91600</v>
      </c>
      <c r="W51" s="515"/>
      <c r="X51" s="515"/>
      <c r="Y51" s="515"/>
      <c r="Z51" s="515"/>
      <c r="AA51" s="516"/>
      <c r="AB51" s="517"/>
      <c r="AC51" s="518"/>
      <c r="AD51" s="518"/>
      <c r="AE51" s="518"/>
      <c r="AF51" s="519"/>
      <c r="AG51" s="517">
        <v>3</v>
      </c>
      <c r="AH51" s="519"/>
      <c r="AI51" s="517">
        <v>2</v>
      </c>
      <c r="AJ51" s="519"/>
      <c r="AK51" s="517">
        <v>3</v>
      </c>
      <c r="AL51" s="519"/>
      <c r="AM51" s="520">
        <f>AVERAGE(AG51:AL51)</f>
        <v>2.6666666666666665</v>
      </c>
      <c r="AN51" s="532"/>
      <c r="AO51" s="521"/>
    </row>
    <row r="52" spans="2:4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3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2:41" x14ac:dyDescent="0.2">
      <c r="B53" s="3" t="s">
        <v>30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2:41" x14ac:dyDescent="0.2"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2:41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2:4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</sheetData>
  <mergeCells count="285">
    <mergeCell ref="B6:AO6"/>
    <mergeCell ref="Q16:AE17"/>
    <mergeCell ref="P16:P17"/>
    <mergeCell ref="V51:AA51"/>
    <mergeCell ref="AB51:AF51"/>
    <mergeCell ref="AG51:AH51"/>
    <mergeCell ref="AI51:AJ51"/>
    <mergeCell ref="AK51:AL51"/>
    <mergeCell ref="AM51:AO51"/>
    <mergeCell ref="V50:AA50"/>
    <mergeCell ref="AB50:AF50"/>
    <mergeCell ref="AG50:AH50"/>
    <mergeCell ref="AI50:AJ50"/>
    <mergeCell ref="AK50:AL50"/>
    <mergeCell ref="AM50:AO50"/>
    <mergeCell ref="V49:AA49"/>
    <mergeCell ref="AB49:AF49"/>
    <mergeCell ref="AG49:AH49"/>
    <mergeCell ref="AI49:AJ49"/>
    <mergeCell ref="AK49:AL49"/>
    <mergeCell ref="AM49:AO49"/>
    <mergeCell ref="V48:AA48"/>
    <mergeCell ref="AB48:AF48"/>
    <mergeCell ref="AG48:AH48"/>
    <mergeCell ref="AI48:AJ48"/>
    <mergeCell ref="AK48:AL48"/>
    <mergeCell ref="AM48:AO48"/>
    <mergeCell ref="V47:AA47"/>
    <mergeCell ref="AB47:AF47"/>
    <mergeCell ref="AG47:AH47"/>
    <mergeCell ref="AI47:AJ47"/>
    <mergeCell ref="AK47:AL47"/>
    <mergeCell ref="AM47:AO47"/>
    <mergeCell ref="V46:AA46"/>
    <mergeCell ref="AB46:AF46"/>
    <mergeCell ref="AG46:AH46"/>
    <mergeCell ref="AI46:AJ46"/>
    <mergeCell ref="AK46:AL46"/>
    <mergeCell ref="AM46:AO46"/>
    <mergeCell ref="V45:AA45"/>
    <mergeCell ref="AB45:AF45"/>
    <mergeCell ref="AG45:AH45"/>
    <mergeCell ref="AI45:AJ45"/>
    <mergeCell ref="AK45:AL45"/>
    <mergeCell ref="AM45:AO45"/>
    <mergeCell ref="V44:AA44"/>
    <mergeCell ref="AB44:AF44"/>
    <mergeCell ref="AG44:AH44"/>
    <mergeCell ref="AI44:AJ44"/>
    <mergeCell ref="AK44:AL44"/>
    <mergeCell ref="AM44:AO44"/>
    <mergeCell ref="V43:AA43"/>
    <mergeCell ref="AB43:AF43"/>
    <mergeCell ref="AG43:AH43"/>
    <mergeCell ref="AI43:AJ43"/>
    <mergeCell ref="AK43:AL43"/>
    <mergeCell ref="AM43:AO43"/>
    <mergeCell ref="V42:AA42"/>
    <mergeCell ref="AB42:AF42"/>
    <mergeCell ref="AG42:AH42"/>
    <mergeCell ref="AI42:AJ42"/>
    <mergeCell ref="AK42:AL42"/>
    <mergeCell ref="AM42:AO42"/>
    <mergeCell ref="V41:AA41"/>
    <mergeCell ref="AB41:AF41"/>
    <mergeCell ref="AG41:AH41"/>
    <mergeCell ref="AI41:AJ41"/>
    <mergeCell ref="AK41:AL41"/>
    <mergeCell ref="AM41:AO41"/>
    <mergeCell ref="V40:AA40"/>
    <mergeCell ref="AB40:AF40"/>
    <mergeCell ref="AG40:AH40"/>
    <mergeCell ref="AI40:AJ40"/>
    <mergeCell ref="AK40:AL40"/>
    <mergeCell ref="AM40:AO40"/>
    <mergeCell ref="V39:AA39"/>
    <mergeCell ref="AB39:AF39"/>
    <mergeCell ref="AG39:AH39"/>
    <mergeCell ref="AI39:AJ39"/>
    <mergeCell ref="AK39:AL39"/>
    <mergeCell ref="AM39:AO39"/>
    <mergeCell ref="V38:AA38"/>
    <mergeCell ref="AB38:AF38"/>
    <mergeCell ref="AG38:AH38"/>
    <mergeCell ref="AI38:AJ38"/>
    <mergeCell ref="AK38:AL38"/>
    <mergeCell ref="AM38:AO38"/>
    <mergeCell ref="V37:AA37"/>
    <mergeCell ref="AB37:AF37"/>
    <mergeCell ref="AG37:AH37"/>
    <mergeCell ref="AI37:AJ37"/>
    <mergeCell ref="AK37:AL37"/>
    <mergeCell ref="AM37:AO37"/>
    <mergeCell ref="V36:AA36"/>
    <mergeCell ref="AB36:AF36"/>
    <mergeCell ref="AG36:AH36"/>
    <mergeCell ref="AI36:AJ36"/>
    <mergeCell ref="AK36:AL36"/>
    <mergeCell ref="AM36:AO36"/>
    <mergeCell ref="V35:AA35"/>
    <mergeCell ref="AB35:AF35"/>
    <mergeCell ref="AG35:AH35"/>
    <mergeCell ref="AI35:AJ35"/>
    <mergeCell ref="AK35:AL35"/>
    <mergeCell ref="AM35:AO35"/>
    <mergeCell ref="V34:AA34"/>
    <mergeCell ref="AB34:AF34"/>
    <mergeCell ref="AG34:AH34"/>
    <mergeCell ref="AI34:AJ34"/>
    <mergeCell ref="AK34:AL34"/>
    <mergeCell ref="AM34:AO34"/>
    <mergeCell ref="AM32:AO32"/>
    <mergeCell ref="V33:AA33"/>
    <mergeCell ref="AB33:AF33"/>
    <mergeCell ref="AG33:AH33"/>
    <mergeCell ref="AI33:AJ33"/>
    <mergeCell ref="AK33:AL33"/>
    <mergeCell ref="AM33:AO33"/>
    <mergeCell ref="B51:E51"/>
    <mergeCell ref="F51:K51"/>
    <mergeCell ref="L51:M51"/>
    <mergeCell ref="N51:O51"/>
    <mergeCell ref="P51:Q51"/>
    <mergeCell ref="R51:S51"/>
    <mergeCell ref="B50:E50"/>
    <mergeCell ref="F50:K50"/>
    <mergeCell ref="L50:M50"/>
    <mergeCell ref="N50:O50"/>
    <mergeCell ref="P50:Q50"/>
    <mergeCell ref="R50:S50"/>
    <mergeCell ref="B49:E49"/>
    <mergeCell ref="F49:K49"/>
    <mergeCell ref="L49:M49"/>
    <mergeCell ref="N49:O49"/>
    <mergeCell ref="P49:Q49"/>
    <mergeCell ref="R49:S49"/>
    <mergeCell ref="B48:E48"/>
    <mergeCell ref="F48:K48"/>
    <mergeCell ref="L48:M48"/>
    <mergeCell ref="N48:O48"/>
    <mergeCell ref="P48:Q48"/>
    <mergeCell ref="R48:S48"/>
    <mergeCell ref="B47:E47"/>
    <mergeCell ref="F47:K47"/>
    <mergeCell ref="L47:M47"/>
    <mergeCell ref="N47:O47"/>
    <mergeCell ref="P47:Q47"/>
    <mergeCell ref="R47:S47"/>
    <mergeCell ref="B46:E46"/>
    <mergeCell ref="F46:K46"/>
    <mergeCell ref="L46:M46"/>
    <mergeCell ref="N46:O46"/>
    <mergeCell ref="P46:Q46"/>
    <mergeCell ref="R46:S46"/>
    <mergeCell ref="B45:E45"/>
    <mergeCell ref="F45:K45"/>
    <mergeCell ref="L45:M45"/>
    <mergeCell ref="N45:O45"/>
    <mergeCell ref="P45:Q45"/>
    <mergeCell ref="R45:S45"/>
    <mergeCell ref="B44:E44"/>
    <mergeCell ref="F44:K44"/>
    <mergeCell ref="L44:M44"/>
    <mergeCell ref="N44:O44"/>
    <mergeCell ref="P44:Q44"/>
    <mergeCell ref="R44:S44"/>
    <mergeCell ref="B43:E43"/>
    <mergeCell ref="F43:K43"/>
    <mergeCell ref="L43:M43"/>
    <mergeCell ref="N43:O43"/>
    <mergeCell ref="P43:Q43"/>
    <mergeCell ref="R43:S43"/>
    <mergeCell ref="B42:E42"/>
    <mergeCell ref="F42:K42"/>
    <mergeCell ref="L42:M42"/>
    <mergeCell ref="N42:O42"/>
    <mergeCell ref="P42:Q42"/>
    <mergeCell ref="R42:S42"/>
    <mergeCell ref="B41:E41"/>
    <mergeCell ref="F41:K41"/>
    <mergeCell ref="L41:M41"/>
    <mergeCell ref="N41:O41"/>
    <mergeCell ref="P41:Q41"/>
    <mergeCell ref="R41:S41"/>
    <mergeCell ref="B40:E40"/>
    <mergeCell ref="F40:K40"/>
    <mergeCell ref="L40:M40"/>
    <mergeCell ref="N40:O40"/>
    <mergeCell ref="P40:Q40"/>
    <mergeCell ref="R40:S40"/>
    <mergeCell ref="B39:E39"/>
    <mergeCell ref="F39:K39"/>
    <mergeCell ref="L39:M39"/>
    <mergeCell ref="N39:O39"/>
    <mergeCell ref="P39:Q39"/>
    <mergeCell ref="R39:S39"/>
    <mergeCell ref="B38:E38"/>
    <mergeCell ref="F38:K38"/>
    <mergeCell ref="L38:M38"/>
    <mergeCell ref="N38:O38"/>
    <mergeCell ref="P38:Q38"/>
    <mergeCell ref="R38:S38"/>
    <mergeCell ref="B37:E37"/>
    <mergeCell ref="F37:K37"/>
    <mergeCell ref="L37:M37"/>
    <mergeCell ref="N37:O37"/>
    <mergeCell ref="P37:Q37"/>
    <mergeCell ref="R37:S37"/>
    <mergeCell ref="B36:E36"/>
    <mergeCell ref="F36:K36"/>
    <mergeCell ref="L36:M36"/>
    <mergeCell ref="N36:O36"/>
    <mergeCell ref="P36:Q36"/>
    <mergeCell ref="R36:S36"/>
    <mergeCell ref="B35:E35"/>
    <mergeCell ref="F35:K35"/>
    <mergeCell ref="L35:M35"/>
    <mergeCell ref="N35:O35"/>
    <mergeCell ref="P35:Q35"/>
    <mergeCell ref="R35:S35"/>
    <mergeCell ref="B34:E34"/>
    <mergeCell ref="F34:K34"/>
    <mergeCell ref="L34:M34"/>
    <mergeCell ref="N34:O34"/>
    <mergeCell ref="P34:Q34"/>
    <mergeCell ref="R34:S34"/>
    <mergeCell ref="B33:E33"/>
    <mergeCell ref="F33:K33"/>
    <mergeCell ref="L33:M33"/>
    <mergeCell ref="N33:O33"/>
    <mergeCell ref="P33:Q33"/>
    <mergeCell ref="R33:S33"/>
    <mergeCell ref="AG29:AH30"/>
    <mergeCell ref="AI29:AJ30"/>
    <mergeCell ref="AK29:AL30"/>
    <mergeCell ref="F28:K30"/>
    <mergeCell ref="B32:E32"/>
    <mergeCell ref="F32:K32"/>
    <mergeCell ref="B28:E30"/>
    <mergeCell ref="AB31:AF31"/>
    <mergeCell ref="AG31:AH31"/>
    <mergeCell ref="AI31:AJ31"/>
    <mergeCell ref="AK31:AL31"/>
    <mergeCell ref="V32:AA32"/>
    <mergeCell ref="AB32:AF32"/>
    <mergeCell ref="AG32:AH32"/>
    <mergeCell ref="AI32:AJ32"/>
    <mergeCell ref="AK32:AL32"/>
    <mergeCell ref="L32:M32"/>
    <mergeCell ref="N32:O32"/>
    <mergeCell ref="P32:Q32"/>
    <mergeCell ref="R32:S32"/>
    <mergeCell ref="V31:AA31"/>
    <mergeCell ref="P29:Q30"/>
    <mergeCell ref="R29:S30"/>
    <mergeCell ref="V28:AA30"/>
    <mergeCell ref="AB28:AF30"/>
    <mergeCell ref="L29:M30"/>
    <mergeCell ref="B31:E31"/>
    <mergeCell ref="F31:K31"/>
    <mergeCell ref="L31:M31"/>
    <mergeCell ref="N31:O31"/>
    <mergeCell ref="P31:Q31"/>
    <mergeCell ref="L28:S28"/>
    <mergeCell ref="AG28:AO28"/>
    <mergeCell ref="N29:O30"/>
    <mergeCell ref="AM29:AO30"/>
    <mergeCell ref="R31:S31"/>
    <mergeCell ref="AM31:AO31"/>
    <mergeCell ref="B8:O9"/>
    <mergeCell ref="P8:AE9"/>
    <mergeCell ref="AF8:AO9"/>
    <mergeCell ref="E11:O11"/>
    <mergeCell ref="S11:AE11"/>
    <mergeCell ref="E17:G17"/>
    <mergeCell ref="I17:K17"/>
    <mergeCell ref="M17:O17"/>
    <mergeCell ref="E20:N20"/>
    <mergeCell ref="Q18:AE18"/>
    <mergeCell ref="Q19:AE19"/>
    <mergeCell ref="Q20:AE20"/>
    <mergeCell ref="AI17:AO17"/>
    <mergeCell ref="B15:O15"/>
    <mergeCell ref="P15:AE15"/>
    <mergeCell ref="AF15:AO15"/>
  </mergeCells>
  <pageMargins left="0.90551181102362199" right="0.74803149606299213" top="0.6692913385826772" bottom="0.98425196850393704" header="0.51181102362204722" footer="0.51181102362204722"/>
  <pageSetup paperSize="9" scale="73" orientation="portrait" r:id="rId1"/>
  <headerFooter alignWithMargins="0">
    <oddHeader>&amp;R&amp;"MS Sans Serif,Bold"&amp;13&amp;A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142875</xdr:colOff>
                <xdr:row>3</xdr:row>
                <xdr:rowOff>76200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O56"/>
  <sheetViews>
    <sheetView view="pageBreakPreview" topLeftCell="A16" zoomScale="115" zoomScaleNormal="75" zoomScaleSheetLayoutView="115" workbookViewId="0">
      <selection activeCell="V46" sqref="V46:AA46"/>
    </sheetView>
  </sheetViews>
  <sheetFormatPr defaultRowHeight="12.75" x14ac:dyDescent="0.2"/>
  <cols>
    <col min="2" max="4" width="3.7109375" customWidth="1"/>
    <col min="5" max="6" width="2.7109375" customWidth="1"/>
    <col min="7" max="7" width="1.42578125" customWidth="1"/>
    <col min="8" max="10" width="2.7109375" customWidth="1"/>
    <col min="11" max="11" width="2.5703125" customWidth="1"/>
    <col min="12" max="15" width="2.7109375" customWidth="1"/>
    <col min="16" max="16" width="3.7109375" customWidth="1"/>
    <col min="17" max="18" width="2.7109375" customWidth="1"/>
    <col min="19" max="19" width="4" customWidth="1"/>
    <col min="20" max="20" width="4.42578125" customWidth="1"/>
    <col min="21" max="31" width="2.7109375" customWidth="1"/>
    <col min="32" max="32" width="4.140625" customWidth="1"/>
    <col min="33" max="42" width="2.7109375" customWidth="1"/>
  </cols>
  <sheetData>
    <row r="2" spans="1:41" x14ac:dyDescent="0.2">
      <c r="D2" s="1" t="s">
        <v>0</v>
      </c>
      <c r="AO2" s="2"/>
    </row>
    <row r="3" spans="1:41" x14ac:dyDescent="0.2">
      <c r="D3" s="3" t="s">
        <v>1</v>
      </c>
      <c r="AO3" s="2"/>
    </row>
    <row r="4" spans="1:41" x14ac:dyDescent="0.2">
      <c r="B4" t="s">
        <v>2</v>
      </c>
    </row>
    <row r="6" spans="1:41" ht="18.75" x14ac:dyDescent="0.3">
      <c r="B6" s="523" t="s">
        <v>3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</row>
    <row r="7" spans="1:41" ht="5.25" customHeight="1" thickBot="1" x14ac:dyDescent="0.3">
      <c r="J7" s="4"/>
    </row>
    <row r="8" spans="1:41" ht="4.5" customHeight="1" x14ac:dyDescent="0.2">
      <c r="B8" s="446" t="s">
        <v>31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8"/>
      <c r="P8" s="452" t="s">
        <v>4</v>
      </c>
      <c r="Q8" s="447"/>
      <c r="R8" s="447"/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8"/>
      <c r="AF8" s="452" t="s">
        <v>5</v>
      </c>
      <c r="AG8" s="447"/>
      <c r="AH8" s="447"/>
      <c r="AI8" s="447"/>
      <c r="AJ8" s="447"/>
      <c r="AK8" s="447"/>
      <c r="AL8" s="447"/>
      <c r="AM8" s="447"/>
      <c r="AN8" s="447"/>
      <c r="AO8" s="454"/>
    </row>
    <row r="9" spans="1:41" x14ac:dyDescent="0.2">
      <c r="B9" s="449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1"/>
      <c r="P9" s="453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1"/>
      <c r="AF9" s="453"/>
      <c r="AG9" s="450"/>
      <c r="AH9" s="450"/>
      <c r="AI9" s="450"/>
      <c r="AJ9" s="450"/>
      <c r="AK9" s="450"/>
      <c r="AL9" s="450"/>
      <c r="AM9" s="450"/>
      <c r="AN9" s="450"/>
      <c r="AO9" s="455"/>
    </row>
    <row r="10" spans="1:41" ht="2.25" customHeight="1" x14ac:dyDescent="0.2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7"/>
      <c r="AF10" s="6"/>
      <c r="AG10" s="6"/>
      <c r="AH10" s="6"/>
      <c r="AI10" s="6"/>
      <c r="AJ10" s="6"/>
      <c r="AK10" s="6"/>
      <c r="AL10" s="6"/>
      <c r="AM10" s="6"/>
      <c r="AN10" s="6"/>
      <c r="AO10" s="8"/>
    </row>
    <row r="11" spans="1:41" x14ac:dyDescent="0.2">
      <c r="B11" s="5" t="s">
        <v>6</v>
      </c>
      <c r="C11" s="6"/>
      <c r="D11" s="6"/>
      <c r="E11" s="456" t="s">
        <v>191</v>
      </c>
      <c r="F11" s="456"/>
      <c r="G11" s="456"/>
      <c r="H11" s="456"/>
      <c r="I11" s="456"/>
      <c r="J11" s="456"/>
      <c r="K11" s="456"/>
      <c r="L11" s="456"/>
      <c r="M11" s="456"/>
      <c r="N11" s="456"/>
      <c r="O11" s="457"/>
      <c r="P11" s="6" t="s">
        <v>6</v>
      </c>
      <c r="Q11" s="6"/>
      <c r="R11" s="6"/>
      <c r="S11" s="458" t="str">
        <f>Aspal!C4</f>
        <v>Kalimbukuni - Lahi Kaninu</v>
      </c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7"/>
      <c r="AF11" s="6"/>
      <c r="AG11" s="6"/>
      <c r="AH11" s="6"/>
      <c r="AI11" s="6"/>
      <c r="AJ11" s="6"/>
      <c r="AK11" s="6"/>
      <c r="AL11" s="6"/>
      <c r="AM11" s="6"/>
      <c r="AN11" s="6"/>
      <c r="AO11" s="8"/>
    </row>
    <row r="12" spans="1:41" ht="15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7"/>
      <c r="AF12" s="6"/>
      <c r="AG12" s="9"/>
      <c r="AH12" s="9"/>
      <c r="AI12" s="6"/>
      <c r="AJ12" s="9"/>
      <c r="AK12" s="9"/>
      <c r="AL12" s="6"/>
      <c r="AM12" s="9"/>
      <c r="AN12" s="9"/>
      <c r="AO12" s="8"/>
    </row>
    <row r="13" spans="1:41" s="16" customFormat="1" ht="15" customHeight="1" x14ac:dyDescent="0.2">
      <c r="A13"/>
      <c r="B13" s="10" t="s">
        <v>7</v>
      </c>
      <c r="C13" s="11"/>
      <c r="D13" s="11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3"/>
      <c r="P13" s="11" t="s">
        <v>7</v>
      </c>
      <c r="Q13" s="11"/>
      <c r="R13" s="11"/>
      <c r="S13" s="11"/>
      <c r="T13" s="11"/>
      <c r="U13" s="12">
        <v>0</v>
      </c>
      <c r="V13" s="12">
        <v>0</v>
      </c>
      <c r="W13" s="12">
        <v>1</v>
      </c>
      <c r="X13" s="11"/>
      <c r="Y13" s="12"/>
      <c r="Z13" s="12"/>
      <c r="AA13" s="11"/>
      <c r="AB13" s="12"/>
      <c r="AC13" s="11"/>
      <c r="AD13" s="11"/>
      <c r="AE13" s="13"/>
      <c r="AF13" s="11"/>
      <c r="AG13" s="14" t="s">
        <v>8</v>
      </c>
      <c r="AH13" s="14"/>
      <c r="AI13" s="14"/>
      <c r="AJ13" s="14" t="s">
        <v>9</v>
      </c>
      <c r="AK13" s="14"/>
      <c r="AL13" s="14"/>
      <c r="AM13" s="14" t="s">
        <v>10</v>
      </c>
      <c r="AN13" s="11"/>
      <c r="AO13" s="15"/>
    </row>
    <row r="14" spans="1:41" s="16" customFormat="1" ht="3" customHeight="1" x14ac:dyDescent="0.2">
      <c r="A14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8"/>
      <c r="AG14" s="18"/>
      <c r="AH14" s="18"/>
      <c r="AI14" s="18"/>
      <c r="AJ14" s="18"/>
      <c r="AK14" s="18"/>
      <c r="AL14" s="18"/>
      <c r="AM14" s="18"/>
      <c r="AN14" s="18"/>
      <c r="AO14" s="20"/>
    </row>
    <row r="15" spans="1:41" s="16" customFormat="1" x14ac:dyDescent="0.2">
      <c r="A15"/>
      <c r="B15" s="468" t="s">
        <v>11</v>
      </c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3"/>
      <c r="P15" s="461" t="s">
        <v>32</v>
      </c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2"/>
      <c r="AB15" s="462"/>
      <c r="AC15" s="462"/>
      <c r="AD15" s="462"/>
      <c r="AE15" s="463"/>
      <c r="AF15" s="461" t="s">
        <v>12</v>
      </c>
      <c r="AG15" s="462"/>
      <c r="AH15" s="462"/>
      <c r="AI15" s="462"/>
      <c r="AJ15" s="462"/>
      <c r="AK15" s="462"/>
      <c r="AL15" s="462"/>
      <c r="AM15" s="462"/>
      <c r="AN15" s="462"/>
      <c r="AO15" s="469"/>
    </row>
    <row r="16" spans="1:41" s="16" customFormat="1" ht="6.75" customHeight="1" x14ac:dyDescent="0.2">
      <c r="A16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530" t="s">
        <v>14</v>
      </c>
      <c r="Q16" s="524" t="s">
        <v>15</v>
      </c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6"/>
      <c r="AF16" s="11"/>
      <c r="AG16" s="11"/>
      <c r="AH16" s="11"/>
      <c r="AI16" s="11"/>
      <c r="AJ16" s="11"/>
      <c r="AK16" s="11"/>
      <c r="AL16" s="11"/>
      <c r="AM16" s="11"/>
      <c r="AN16" s="11"/>
      <c r="AO16" s="15"/>
    </row>
    <row r="17" spans="1:41" s="16" customFormat="1" x14ac:dyDescent="0.2">
      <c r="A17"/>
      <c r="B17" s="10" t="s">
        <v>13</v>
      </c>
      <c r="C17" s="11"/>
      <c r="D17" s="11"/>
      <c r="E17" s="459"/>
      <c r="F17" s="459"/>
      <c r="G17" s="459"/>
      <c r="H17" s="11"/>
      <c r="I17" s="459"/>
      <c r="J17" s="459"/>
      <c r="K17" s="459"/>
      <c r="L17" s="11"/>
      <c r="M17" s="459"/>
      <c r="N17" s="459"/>
      <c r="O17" s="460"/>
      <c r="P17" s="531"/>
      <c r="Q17" s="527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9"/>
      <c r="AF17" s="11" t="s">
        <v>16</v>
      </c>
      <c r="AH17" s="11"/>
      <c r="AI17" s="459" t="s">
        <v>189</v>
      </c>
      <c r="AJ17" s="459"/>
      <c r="AK17" s="459"/>
      <c r="AL17" s="459"/>
      <c r="AM17" s="459"/>
      <c r="AN17" s="459"/>
      <c r="AO17" s="467"/>
    </row>
    <row r="18" spans="1:41" s="16" customFormat="1" ht="15" customHeight="1" x14ac:dyDescent="0.2">
      <c r="A18"/>
      <c r="B18" s="17"/>
      <c r="C18" s="18"/>
      <c r="D18" s="18"/>
      <c r="E18" s="21" t="s">
        <v>17</v>
      </c>
      <c r="F18" s="21"/>
      <c r="G18" s="21"/>
      <c r="H18" s="18"/>
      <c r="I18" s="18" t="s">
        <v>18</v>
      </c>
      <c r="J18" s="18"/>
      <c r="K18" s="18"/>
      <c r="L18" s="18"/>
      <c r="M18" s="18" t="s">
        <v>10</v>
      </c>
      <c r="N18" s="18"/>
      <c r="O18" s="19"/>
      <c r="P18" s="92">
        <v>1</v>
      </c>
      <c r="Q18" s="461" t="str">
        <f>'Form RCI'!Q18:AE18</f>
        <v>Dery S,S.T</v>
      </c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3"/>
      <c r="AF18" s="11"/>
      <c r="AH18" s="11"/>
      <c r="AI18" s="11"/>
      <c r="AJ18" s="11"/>
      <c r="AK18" s="11"/>
      <c r="AL18" s="11"/>
      <c r="AM18" s="11"/>
      <c r="AN18" s="11"/>
      <c r="AO18" s="15"/>
    </row>
    <row r="19" spans="1:41" s="16" customFormat="1" ht="15" customHeight="1" x14ac:dyDescent="0.2">
      <c r="A1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92">
        <v>2</v>
      </c>
      <c r="Q19" s="461" t="str">
        <f>'Form RCI'!Q19:AE19</f>
        <v xml:space="preserve">Fredy </v>
      </c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3"/>
      <c r="AF19" s="11"/>
      <c r="AH19" s="11"/>
      <c r="AI19" s="11"/>
      <c r="AJ19" s="11"/>
      <c r="AK19" s="11"/>
      <c r="AL19" s="11"/>
      <c r="AM19" s="11"/>
      <c r="AN19" s="11"/>
      <c r="AO19" s="15"/>
    </row>
    <row r="20" spans="1:41" s="16" customFormat="1" ht="15" customHeight="1" x14ac:dyDescent="0.2">
      <c r="A20"/>
      <c r="B20" s="10" t="s">
        <v>19</v>
      </c>
      <c r="C20" s="11"/>
      <c r="D20" s="11"/>
      <c r="E20" s="461"/>
      <c r="F20" s="462"/>
      <c r="G20" s="462"/>
      <c r="H20" s="462"/>
      <c r="I20" s="462"/>
      <c r="J20" s="462"/>
      <c r="K20" s="462"/>
      <c r="L20" s="462"/>
      <c r="M20" s="462"/>
      <c r="N20" s="463"/>
      <c r="O20" s="13"/>
      <c r="P20" s="38">
        <v>3</v>
      </c>
      <c r="Q20" s="461" t="str">
        <f>'Form RCI'!Q20:AE20</f>
        <v>Aris Prasetya</v>
      </c>
      <c r="R20" s="462"/>
      <c r="S20" s="462"/>
      <c r="T20" s="462"/>
      <c r="U20" s="462"/>
      <c r="V20" s="462"/>
      <c r="W20" s="462"/>
      <c r="X20" s="462"/>
      <c r="Y20" s="462"/>
      <c r="Z20" s="462"/>
      <c r="AA20" s="462"/>
      <c r="AB20" s="462"/>
      <c r="AC20" s="462"/>
      <c r="AD20" s="462"/>
      <c r="AE20" s="463"/>
      <c r="AF20" s="11"/>
      <c r="AG20" s="11"/>
      <c r="AH20" s="11"/>
      <c r="AI20" s="11"/>
      <c r="AJ20" s="11"/>
      <c r="AK20" s="11"/>
      <c r="AL20" s="11"/>
      <c r="AM20" s="11"/>
      <c r="AN20" s="11"/>
      <c r="AO20" s="15"/>
    </row>
    <row r="21" spans="1:41" s="16" customFormat="1" ht="4.5" customHeight="1" x14ac:dyDescent="0.2">
      <c r="A21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  <c r="AF21" s="18"/>
      <c r="AG21" s="18"/>
      <c r="AH21" s="18"/>
      <c r="AI21" s="18"/>
      <c r="AJ21" s="18"/>
      <c r="AK21" s="18"/>
      <c r="AL21" s="18"/>
      <c r="AM21" s="18"/>
      <c r="AN21" s="18"/>
      <c r="AO21" s="20"/>
    </row>
    <row r="22" spans="1:41" s="16" customFormat="1" ht="2.25" customHeight="1" x14ac:dyDescent="0.2">
      <c r="A22"/>
      <c r="B22" s="10"/>
      <c r="C22" s="11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5"/>
    </row>
    <row r="23" spans="1:41" s="16" customFormat="1" ht="15" customHeight="1" x14ac:dyDescent="0.2">
      <c r="A23"/>
      <c r="B23" s="10" t="s">
        <v>20</v>
      </c>
      <c r="C23" s="11"/>
      <c r="D23" s="11"/>
      <c r="E23" s="13"/>
      <c r="F23" s="11"/>
      <c r="G23" s="11"/>
      <c r="H23" s="12"/>
      <c r="I23" s="12"/>
      <c r="J23" s="12"/>
      <c r="K23" s="22" t="s">
        <v>21</v>
      </c>
      <c r="L23" s="11"/>
      <c r="M23" s="12"/>
      <c r="N23" s="12"/>
      <c r="O23" s="12"/>
      <c r="P23" s="11"/>
      <c r="Q23" s="12"/>
      <c r="R23" s="12"/>
      <c r="S23" s="22" t="s">
        <v>21</v>
      </c>
      <c r="T23" s="22"/>
      <c r="U23" s="11"/>
      <c r="V23" s="12"/>
      <c r="W23" s="12"/>
      <c r="X23" s="12"/>
      <c r="Y23" s="12"/>
      <c r="Z23" s="12"/>
      <c r="AA23" s="12"/>
      <c r="AB23" s="11"/>
      <c r="AC23" s="12"/>
      <c r="AD23" s="12"/>
      <c r="AE23" s="22" t="s">
        <v>21</v>
      </c>
      <c r="AF23" s="11"/>
      <c r="AG23" s="11"/>
      <c r="AH23" s="11"/>
      <c r="AI23" s="11"/>
      <c r="AJ23" s="12"/>
      <c r="AK23" s="12"/>
      <c r="AL23" s="11"/>
      <c r="AM23" s="12"/>
      <c r="AN23" s="12"/>
      <c r="AO23" s="15"/>
    </row>
    <row r="24" spans="1:41" ht="15.75" customHeight="1" x14ac:dyDescent="0.2">
      <c r="B24" s="5"/>
      <c r="C24" s="6"/>
      <c r="D24" s="6"/>
      <c r="E24" s="7"/>
      <c r="F24" s="6"/>
      <c r="G24" s="6"/>
      <c r="H24" s="23" t="s">
        <v>22</v>
      </c>
      <c r="I24" s="23"/>
      <c r="J24" s="23"/>
      <c r="K24" s="23"/>
      <c r="L24" s="23"/>
      <c r="M24" s="23"/>
      <c r="N24" s="23"/>
      <c r="O24" s="23" t="s">
        <v>23</v>
      </c>
      <c r="P24" s="23"/>
      <c r="Q24" s="23"/>
      <c r="R24" s="23"/>
      <c r="S24" s="23"/>
      <c r="T24" s="23"/>
      <c r="U24" s="23"/>
      <c r="V24" s="23" t="s">
        <v>24</v>
      </c>
      <c r="W24" s="23"/>
      <c r="X24" s="6"/>
      <c r="Y24" s="6"/>
      <c r="Z24" s="6"/>
      <c r="AA24" s="6"/>
      <c r="AB24" s="6"/>
      <c r="AC24" s="6"/>
      <c r="AD24" s="6"/>
      <c r="AE24" s="6"/>
      <c r="AF24" s="6"/>
      <c r="AG24" s="23" t="s">
        <v>25</v>
      </c>
      <c r="AH24" s="23"/>
      <c r="AI24" s="23"/>
      <c r="AJ24" s="23" t="s">
        <v>26</v>
      </c>
      <c r="AK24" s="23"/>
      <c r="AL24" s="23"/>
      <c r="AM24" s="23" t="s">
        <v>27</v>
      </c>
      <c r="AN24" s="23"/>
      <c r="AO24" s="24"/>
    </row>
    <row r="25" spans="1:41" ht="15.75" x14ac:dyDescent="0.2">
      <c r="B25" s="5" t="s">
        <v>28</v>
      </c>
      <c r="C25" s="6"/>
      <c r="D25" s="6"/>
      <c r="E25" s="7"/>
      <c r="F25" s="6"/>
      <c r="G25" s="6"/>
      <c r="H25" s="9"/>
      <c r="I25" s="9"/>
      <c r="J25" s="9"/>
      <c r="K25" s="25" t="s">
        <v>21</v>
      </c>
      <c r="L25" s="6"/>
      <c r="M25" s="9"/>
      <c r="N25" s="9"/>
      <c r="O25" s="9"/>
      <c r="P25" s="9"/>
      <c r="Q25" s="9"/>
      <c r="R25" s="9"/>
      <c r="S25" s="25" t="s">
        <v>21</v>
      </c>
      <c r="T25" s="25"/>
      <c r="U25" s="6"/>
      <c r="V25" s="9"/>
      <c r="W25" s="9"/>
      <c r="X25" s="9"/>
      <c r="Y25" s="9"/>
      <c r="Z25" s="9"/>
      <c r="AA25" s="9"/>
      <c r="AB25" s="6"/>
      <c r="AC25" s="9"/>
      <c r="AD25" s="9"/>
      <c r="AE25" s="25" t="s">
        <v>21</v>
      </c>
      <c r="AF25" s="6"/>
      <c r="AG25" s="6"/>
      <c r="AH25" s="6"/>
      <c r="AI25" s="6"/>
      <c r="AJ25" s="9"/>
      <c r="AK25" s="9"/>
      <c r="AL25" s="6"/>
      <c r="AM25" s="9"/>
      <c r="AN25" s="9"/>
      <c r="AO25" s="8"/>
    </row>
    <row r="26" spans="1:41" ht="3.75" customHeight="1" thickBot="1" x14ac:dyDescent="0.25">
      <c r="B26" s="26"/>
      <c r="C26" s="27"/>
      <c r="D26" s="27"/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9"/>
    </row>
    <row r="27" spans="1:41" ht="3.75" customHeight="1" thickBot="1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27"/>
      <c r="N27" s="30"/>
      <c r="O27" s="30"/>
      <c r="P27" s="30"/>
      <c r="Q27" s="30"/>
      <c r="R27" s="30"/>
      <c r="S27" s="30"/>
      <c r="T27" s="31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x14ac:dyDescent="0.2">
      <c r="B28" s="481" t="s">
        <v>33</v>
      </c>
      <c r="C28" s="482"/>
      <c r="D28" s="482"/>
      <c r="E28" s="483"/>
      <c r="F28" s="490" t="s">
        <v>36</v>
      </c>
      <c r="G28" s="491"/>
      <c r="H28" s="491"/>
      <c r="I28" s="491"/>
      <c r="J28" s="491"/>
      <c r="K28" s="492"/>
      <c r="L28" s="428" t="s">
        <v>29</v>
      </c>
      <c r="M28" s="429"/>
      <c r="N28" s="429"/>
      <c r="O28" s="429"/>
      <c r="P28" s="429"/>
      <c r="Q28" s="429"/>
      <c r="R28" s="429"/>
      <c r="S28" s="430"/>
      <c r="T28" s="32"/>
      <c r="U28" s="8"/>
      <c r="V28" s="481" t="s">
        <v>35</v>
      </c>
      <c r="W28" s="482"/>
      <c r="X28" s="482"/>
      <c r="Y28" s="482"/>
      <c r="Z28" s="482"/>
      <c r="AA28" s="483"/>
      <c r="AB28" s="490" t="s">
        <v>36</v>
      </c>
      <c r="AC28" s="491"/>
      <c r="AD28" s="491"/>
      <c r="AE28" s="491"/>
      <c r="AF28" s="492"/>
      <c r="AG28" s="428" t="s">
        <v>29</v>
      </c>
      <c r="AH28" s="429"/>
      <c r="AI28" s="429"/>
      <c r="AJ28" s="429"/>
      <c r="AK28" s="429"/>
      <c r="AL28" s="429"/>
      <c r="AM28" s="429"/>
      <c r="AN28" s="429"/>
      <c r="AO28" s="430"/>
    </row>
    <row r="29" spans="1:41" x14ac:dyDescent="0.2">
      <c r="B29" s="484"/>
      <c r="C29" s="485"/>
      <c r="D29" s="485"/>
      <c r="E29" s="486"/>
      <c r="F29" s="493"/>
      <c r="G29" s="494"/>
      <c r="H29" s="494"/>
      <c r="I29" s="494"/>
      <c r="J29" s="494"/>
      <c r="K29" s="495"/>
      <c r="L29" s="431">
        <v>1</v>
      </c>
      <c r="M29" s="432"/>
      <c r="N29" s="431">
        <v>2</v>
      </c>
      <c r="O29" s="432"/>
      <c r="P29" s="431">
        <v>3</v>
      </c>
      <c r="Q29" s="432"/>
      <c r="R29" s="477" t="s">
        <v>34</v>
      </c>
      <c r="S29" s="478"/>
      <c r="T29" s="32"/>
      <c r="U29" s="8"/>
      <c r="V29" s="484"/>
      <c r="W29" s="485"/>
      <c r="X29" s="485"/>
      <c r="Y29" s="485"/>
      <c r="Z29" s="485"/>
      <c r="AA29" s="486"/>
      <c r="AB29" s="493"/>
      <c r="AC29" s="494"/>
      <c r="AD29" s="494"/>
      <c r="AE29" s="494"/>
      <c r="AF29" s="495"/>
      <c r="AG29" s="431">
        <v>1</v>
      </c>
      <c r="AH29" s="432"/>
      <c r="AI29" s="431">
        <v>2</v>
      </c>
      <c r="AJ29" s="432"/>
      <c r="AK29" s="431">
        <v>3</v>
      </c>
      <c r="AL29" s="432"/>
      <c r="AM29" s="435" t="s">
        <v>34</v>
      </c>
      <c r="AN29" s="436"/>
      <c r="AO29" s="437"/>
    </row>
    <row r="30" spans="1:41" ht="13.5" thickBot="1" x14ac:dyDescent="0.25">
      <c r="B30" s="487"/>
      <c r="C30" s="488"/>
      <c r="D30" s="488"/>
      <c r="E30" s="489"/>
      <c r="F30" s="496"/>
      <c r="G30" s="497"/>
      <c r="H30" s="497"/>
      <c r="I30" s="497"/>
      <c r="J30" s="497"/>
      <c r="K30" s="498"/>
      <c r="L30" s="433"/>
      <c r="M30" s="434"/>
      <c r="N30" s="433"/>
      <c r="O30" s="434"/>
      <c r="P30" s="433"/>
      <c r="Q30" s="434"/>
      <c r="R30" s="479"/>
      <c r="S30" s="480"/>
      <c r="T30" s="32"/>
      <c r="U30" s="8"/>
      <c r="V30" s="487"/>
      <c r="W30" s="488"/>
      <c r="X30" s="488"/>
      <c r="Y30" s="488"/>
      <c r="Z30" s="488"/>
      <c r="AA30" s="489"/>
      <c r="AB30" s="496"/>
      <c r="AC30" s="497"/>
      <c r="AD30" s="497"/>
      <c r="AE30" s="497"/>
      <c r="AF30" s="498"/>
      <c r="AG30" s="433"/>
      <c r="AH30" s="434"/>
      <c r="AI30" s="433"/>
      <c r="AJ30" s="434"/>
      <c r="AK30" s="433"/>
      <c r="AL30" s="434"/>
      <c r="AM30" s="438"/>
      <c r="AN30" s="439"/>
      <c r="AO30" s="440"/>
    </row>
    <row r="31" spans="1:41" ht="24.95" customHeight="1" x14ac:dyDescent="0.2">
      <c r="B31" s="499">
        <v>91800</v>
      </c>
      <c r="C31" s="500"/>
      <c r="D31" s="500"/>
      <c r="E31" s="501"/>
      <c r="F31" s="502"/>
      <c r="G31" s="503"/>
      <c r="H31" s="503"/>
      <c r="I31" s="503"/>
      <c r="J31" s="503"/>
      <c r="K31" s="504"/>
      <c r="L31" s="505">
        <v>3</v>
      </c>
      <c r="M31" s="506"/>
      <c r="N31" s="505">
        <v>2</v>
      </c>
      <c r="O31" s="506"/>
      <c r="P31" s="505">
        <v>2</v>
      </c>
      <c r="Q31" s="506"/>
      <c r="R31" s="441">
        <f>AVERAGE(L31:Q31)</f>
        <v>2.3333333333333335</v>
      </c>
      <c r="S31" s="442"/>
      <c r="T31" s="35"/>
      <c r="U31" s="36"/>
      <c r="V31" s="474">
        <f>B51+200</f>
        <v>96000</v>
      </c>
      <c r="W31" s="475"/>
      <c r="X31" s="475"/>
      <c r="Y31" s="475"/>
      <c r="Z31" s="475"/>
      <c r="AA31" s="476"/>
      <c r="AB31" s="505"/>
      <c r="AC31" s="513"/>
      <c r="AD31" s="513"/>
      <c r="AE31" s="513"/>
      <c r="AF31" s="506"/>
      <c r="AG31" s="505">
        <v>3</v>
      </c>
      <c r="AH31" s="506"/>
      <c r="AI31" s="505">
        <v>2</v>
      </c>
      <c r="AJ31" s="506"/>
      <c r="AK31" s="505">
        <v>3</v>
      </c>
      <c r="AL31" s="506"/>
      <c r="AM31" s="443">
        <f>AVERAGE(AG31:AL31)</f>
        <v>2.6666666666666665</v>
      </c>
      <c r="AN31" s="444"/>
      <c r="AO31" s="445"/>
    </row>
    <row r="32" spans="1:41" ht="24.95" customHeight="1" x14ac:dyDescent="0.2">
      <c r="B32" s="507">
        <f>B31+200</f>
        <v>92000</v>
      </c>
      <c r="C32" s="508"/>
      <c r="D32" s="508"/>
      <c r="E32" s="509"/>
      <c r="F32" s="470"/>
      <c r="G32" s="510"/>
      <c r="H32" s="510"/>
      <c r="I32" s="510"/>
      <c r="J32" s="510"/>
      <c r="K32" s="471"/>
      <c r="L32" s="470">
        <v>3</v>
      </c>
      <c r="M32" s="471"/>
      <c r="N32" s="470">
        <v>2</v>
      </c>
      <c r="O32" s="471"/>
      <c r="P32" s="470">
        <v>2</v>
      </c>
      <c r="Q32" s="471"/>
      <c r="R32" s="472">
        <f>AVERAGE(L32:Q32)</f>
        <v>2.3333333333333335</v>
      </c>
      <c r="S32" s="473"/>
      <c r="T32" s="35"/>
      <c r="U32" s="36"/>
      <c r="V32" s="507">
        <f>V31+200</f>
        <v>96200</v>
      </c>
      <c r="W32" s="508"/>
      <c r="X32" s="508"/>
      <c r="Y32" s="508"/>
      <c r="Z32" s="508"/>
      <c r="AA32" s="509"/>
      <c r="AB32" s="470"/>
      <c r="AC32" s="510"/>
      <c r="AD32" s="510"/>
      <c r="AE32" s="510"/>
      <c r="AF32" s="471"/>
      <c r="AG32" s="470">
        <v>3</v>
      </c>
      <c r="AH32" s="471"/>
      <c r="AI32" s="470">
        <v>2</v>
      </c>
      <c r="AJ32" s="471"/>
      <c r="AK32" s="470">
        <v>3</v>
      </c>
      <c r="AL32" s="471"/>
      <c r="AM32" s="472">
        <f>AVERAGE(AG32:AL32)</f>
        <v>2.6666666666666665</v>
      </c>
      <c r="AN32" s="522"/>
      <c r="AO32" s="473"/>
    </row>
    <row r="33" spans="2:41" ht="24.95" customHeight="1" x14ac:dyDescent="0.2">
      <c r="B33" s="507">
        <f t="shared" ref="B33:B51" si="0">B32+200</f>
        <v>92200</v>
      </c>
      <c r="C33" s="508"/>
      <c r="D33" s="508"/>
      <c r="E33" s="509"/>
      <c r="F33" s="470"/>
      <c r="G33" s="510"/>
      <c r="H33" s="510"/>
      <c r="I33" s="510"/>
      <c r="J33" s="510"/>
      <c r="K33" s="471"/>
      <c r="L33" s="511">
        <v>3</v>
      </c>
      <c r="M33" s="512"/>
      <c r="N33" s="511">
        <v>2</v>
      </c>
      <c r="O33" s="512"/>
      <c r="P33" s="511">
        <v>2</v>
      </c>
      <c r="Q33" s="512"/>
      <c r="R33" s="472">
        <f t="shared" ref="R33:R50" si="1">AVERAGE(L33:Q33)</f>
        <v>2.3333333333333335</v>
      </c>
      <c r="S33" s="473"/>
      <c r="T33" s="35"/>
      <c r="U33" s="36"/>
      <c r="V33" s="507">
        <f t="shared" ref="V33:V42" si="2">V32+200</f>
        <v>96400</v>
      </c>
      <c r="W33" s="508"/>
      <c r="X33" s="508"/>
      <c r="Y33" s="508"/>
      <c r="Z33" s="508"/>
      <c r="AA33" s="509"/>
      <c r="AB33" s="470"/>
      <c r="AC33" s="510"/>
      <c r="AD33" s="510"/>
      <c r="AE33" s="510"/>
      <c r="AF33" s="471"/>
      <c r="AG33" s="470">
        <v>3</v>
      </c>
      <c r="AH33" s="471"/>
      <c r="AI33" s="470">
        <v>2</v>
      </c>
      <c r="AJ33" s="471"/>
      <c r="AK33" s="470">
        <v>3</v>
      </c>
      <c r="AL33" s="471"/>
      <c r="AM33" s="472">
        <f t="shared" ref="AM33:AM43" si="3">AVERAGE(AG33:AL33)</f>
        <v>2.6666666666666665</v>
      </c>
      <c r="AN33" s="522"/>
      <c r="AO33" s="473"/>
    </row>
    <row r="34" spans="2:41" ht="24.95" customHeight="1" x14ac:dyDescent="0.2">
      <c r="B34" s="507">
        <f t="shared" si="0"/>
        <v>92400</v>
      </c>
      <c r="C34" s="508"/>
      <c r="D34" s="508"/>
      <c r="E34" s="509"/>
      <c r="F34" s="470"/>
      <c r="G34" s="510"/>
      <c r="H34" s="510"/>
      <c r="I34" s="510"/>
      <c r="J34" s="510"/>
      <c r="K34" s="471"/>
      <c r="L34" s="470">
        <v>3</v>
      </c>
      <c r="M34" s="471"/>
      <c r="N34" s="470">
        <v>2</v>
      </c>
      <c r="O34" s="471"/>
      <c r="P34" s="470">
        <v>3</v>
      </c>
      <c r="Q34" s="471"/>
      <c r="R34" s="472">
        <f t="shared" si="1"/>
        <v>2.6666666666666665</v>
      </c>
      <c r="S34" s="473"/>
      <c r="T34" s="35"/>
      <c r="U34" s="36"/>
      <c r="V34" s="507">
        <f t="shared" si="2"/>
        <v>96600</v>
      </c>
      <c r="W34" s="508"/>
      <c r="X34" s="508"/>
      <c r="Y34" s="508"/>
      <c r="Z34" s="508"/>
      <c r="AA34" s="509"/>
      <c r="AB34" s="470"/>
      <c r="AC34" s="510"/>
      <c r="AD34" s="510"/>
      <c r="AE34" s="510"/>
      <c r="AF34" s="471"/>
      <c r="AG34" s="470">
        <v>3</v>
      </c>
      <c r="AH34" s="471"/>
      <c r="AI34" s="470">
        <v>2</v>
      </c>
      <c r="AJ34" s="471"/>
      <c r="AK34" s="470">
        <v>3</v>
      </c>
      <c r="AL34" s="471"/>
      <c r="AM34" s="472">
        <f t="shared" si="3"/>
        <v>2.6666666666666665</v>
      </c>
      <c r="AN34" s="522"/>
      <c r="AO34" s="473"/>
    </row>
    <row r="35" spans="2:41" ht="24.95" customHeight="1" x14ac:dyDescent="0.2">
      <c r="B35" s="507">
        <f t="shared" si="0"/>
        <v>92600</v>
      </c>
      <c r="C35" s="508"/>
      <c r="D35" s="508"/>
      <c r="E35" s="509"/>
      <c r="F35" s="470"/>
      <c r="G35" s="510"/>
      <c r="H35" s="510"/>
      <c r="I35" s="510"/>
      <c r="J35" s="510"/>
      <c r="K35" s="471"/>
      <c r="L35" s="470">
        <v>3</v>
      </c>
      <c r="M35" s="471"/>
      <c r="N35" s="470">
        <v>2</v>
      </c>
      <c r="O35" s="471"/>
      <c r="P35" s="470">
        <v>3</v>
      </c>
      <c r="Q35" s="471"/>
      <c r="R35" s="472">
        <f t="shared" si="1"/>
        <v>2.6666666666666665</v>
      </c>
      <c r="S35" s="473"/>
      <c r="T35" s="35"/>
      <c r="U35" s="36"/>
      <c r="V35" s="507">
        <f t="shared" si="2"/>
        <v>96800</v>
      </c>
      <c r="W35" s="508"/>
      <c r="X35" s="508"/>
      <c r="Y35" s="508"/>
      <c r="Z35" s="508"/>
      <c r="AA35" s="509"/>
      <c r="AB35" s="470"/>
      <c r="AC35" s="510"/>
      <c r="AD35" s="510"/>
      <c r="AE35" s="510"/>
      <c r="AF35" s="471"/>
      <c r="AG35" s="470">
        <v>3</v>
      </c>
      <c r="AH35" s="471"/>
      <c r="AI35" s="470">
        <v>2</v>
      </c>
      <c r="AJ35" s="471"/>
      <c r="AK35" s="470">
        <v>3</v>
      </c>
      <c r="AL35" s="471"/>
      <c r="AM35" s="472">
        <f t="shared" si="3"/>
        <v>2.6666666666666665</v>
      </c>
      <c r="AN35" s="522"/>
      <c r="AO35" s="473"/>
    </row>
    <row r="36" spans="2:41" ht="24" customHeight="1" x14ac:dyDescent="0.2">
      <c r="B36" s="507">
        <f t="shared" si="0"/>
        <v>92800</v>
      </c>
      <c r="C36" s="508"/>
      <c r="D36" s="508"/>
      <c r="E36" s="509"/>
      <c r="F36" s="470"/>
      <c r="G36" s="510"/>
      <c r="H36" s="510"/>
      <c r="I36" s="510"/>
      <c r="J36" s="510"/>
      <c r="K36" s="471"/>
      <c r="L36" s="470">
        <v>3</v>
      </c>
      <c r="M36" s="471"/>
      <c r="N36" s="470">
        <v>2</v>
      </c>
      <c r="O36" s="471"/>
      <c r="P36" s="470">
        <v>3</v>
      </c>
      <c r="Q36" s="471"/>
      <c r="R36" s="472">
        <f t="shared" si="1"/>
        <v>2.6666666666666665</v>
      </c>
      <c r="S36" s="473"/>
      <c r="T36" s="35"/>
      <c r="U36" s="36"/>
      <c r="V36" s="507">
        <f t="shared" si="2"/>
        <v>97000</v>
      </c>
      <c r="W36" s="508"/>
      <c r="X36" s="508"/>
      <c r="Y36" s="508"/>
      <c r="Z36" s="508"/>
      <c r="AA36" s="509"/>
      <c r="AB36" s="470"/>
      <c r="AC36" s="510"/>
      <c r="AD36" s="510"/>
      <c r="AE36" s="510"/>
      <c r="AF36" s="471"/>
      <c r="AG36" s="470">
        <v>3</v>
      </c>
      <c r="AH36" s="471"/>
      <c r="AI36" s="470">
        <v>2</v>
      </c>
      <c r="AJ36" s="471"/>
      <c r="AK36" s="470">
        <v>3</v>
      </c>
      <c r="AL36" s="471"/>
      <c r="AM36" s="472">
        <f t="shared" si="3"/>
        <v>2.6666666666666665</v>
      </c>
      <c r="AN36" s="522"/>
      <c r="AO36" s="473"/>
    </row>
    <row r="37" spans="2:41" ht="24.95" customHeight="1" x14ac:dyDescent="0.2">
      <c r="B37" s="507">
        <f t="shared" si="0"/>
        <v>93000</v>
      </c>
      <c r="C37" s="508"/>
      <c r="D37" s="508"/>
      <c r="E37" s="509"/>
      <c r="F37" s="470"/>
      <c r="G37" s="510"/>
      <c r="H37" s="510"/>
      <c r="I37" s="510"/>
      <c r="J37" s="510"/>
      <c r="K37" s="471"/>
      <c r="L37" s="470">
        <v>3</v>
      </c>
      <c r="M37" s="471"/>
      <c r="N37" s="470">
        <v>2</v>
      </c>
      <c r="O37" s="471"/>
      <c r="P37" s="470">
        <v>3</v>
      </c>
      <c r="Q37" s="471"/>
      <c r="R37" s="472">
        <f t="shared" si="1"/>
        <v>2.6666666666666665</v>
      </c>
      <c r="S37" s="473"/>
      <c r="T37" s="35"/>
      <c r="U37" s="36"/>
      <c r="V37" s="507">
        <f t="shared" si="2"/>
        <v>97200</v>
      </c>
      <c r="W37" s="508"/>
      <c r="X37" s="508"/>
      <c r="Y37" s="508"/>
      <c r="Z37" s="508"/>
      <c r="AA37" s="509"/>
      <c r="AB37" s="470"/>
      <c r="AC37" s="510"/>
      <c r="AD37" s="510"/>
      <c r="AE37" s="510"/>
      <c r="AF37" s="471"/>
      <c r="AG37" s="470">
        <v>3</v>
      </c>
      <c r="AH37" s="471"/>
      <c r="AI37" s="470">
        <v>2</v>
      </c>
      <c r="AJ37" s="471"/>
      <c r="AK37" s="470">
        <v>3</v>
      </c>
      <c r="AL37" s="471"/>
      <c r="AM37" s="472">
        <f t="shared" si="3"/>
        <v>2.6666666666666665</v>
      </c>
      <c r="AN37" s="522"/>
      <c r="AO37" s="473"/>
    </row>
    <row r="38" spans="2:41" ht="24.95" customHeight="1" x14ac:dyDescent="0.2">
      <c r="B38" s="507">
        <f t="shared" si="0"/>
        <v>93200</v>
      </c>
      <c r="C38" s="508"/>
      <c r="D38" s="508"/>
      <c r="E38" s="509"/>
      <c r="F38" s="470"/>
      <c r="G38" s="510"/>
      <c r="H38" s="510"/>
      <c r="I38" s="510"/>
      <c r="J38" s="510"/>
      <c r="K38" s="471"/>
      <c r="L38" s="470">
        <v>3</v>
      </c>
      <c r="M38" s="471"/>
      <c r="N38" s="470">
        <v>2</v>
      </c>
      <c r="O38" s="471"/>
      <c r="P38" s="470">
        <v>3</v>
      </c>
      <c r="Q38" s="471"/>
      <c r="R38" s="472">
        <f t="shared" si="1"/>
        <v>2.6666666666666665</v>
      </c>
      <c r="S38" s="473"/>
      <c r="T38" s="35"/>
      <c r="U38" s="36"/>
      <c r="V38" s="507">
        <f t="shared" si="2"/>
        <v>97400</v>
      </c>
      <c r="W38" s="508"/>
      <c r="X38" s="508"/>
      <c r="Y38" s="508"/>
      <c r="Z38" s="508"/>
      <c r="AA38" s="509"/>
      <c r="AB38" s="470"/>
      <c r="AC38" s="510"/>
      <c r="AD38" s="510"/>
      <c r="AE38" s="510"/>
      <c r="AF38" s="471"/>
      <c r="AG38" s="470">
        <v>3</v>
      </c>
      <c r="AH38" s="471"/>
      <c r="AI38" s="470">
        <v>2</v>
      </c>
      <c r="AJ38" s="471"/>
      <c r="AK38" s="470">
        <v>3</v>
      </c>
      <c r="AL38" s="471"/>
      <c r="AM38" s="472">
        <f t="shared" si="3"/>
        <v>2.6666666666666665</v>
      </c>
      <c r="AN38" s="522"/>
      <c r="AO38" s="473"/>
    </row>
    <row r="39" spans="2:41" ht="24.95" customHeight="1" x14ac:dyDescent="0.2">
      <c r="B39" s="507">
        <f t="shared" si="0"/>
        <v>93400</v>
      </c>
      <c r="C39" s="508"/>
      <c r="D39" s="508"/>
      <c r="E39" s="509"/>
      <c r="F39" s="470"/>
      <c r="G39" s="510"/>
      <c r="H39" s="510"/>
      <c r="I39" s="510"/>
      <c r="J39" s="510"/>
      <c r="K39" s="471"/>
      <c r="L39" s="470">
        <v>3</v>
      </c>
      <c r="M39" s="471"/>
      <c r="N39" s="470">
        <v>2</v>
      </c>
      <c r="O39" s="471"/>
      <c r="P39" s="470">
        <v>3</v>
      </c>
      <c r="Q39" s="471"/>
      <c r="R39" s="472">
        <f t="shared" si="1"/>
        <v>2.6666666666666665</v>
      </c>
      <c r="S39" s="473"/>
      <c r="T39" s="35"/>
      <c r="U39" s="36"/>
      <c r="V39" s="507">
        <f t="shared" si="2"/>
        <v>97600</v>
      </c>
      <c r="W39" s="508"/>
      <c r="X39" s="508"/>
      <c r="Y39" s="508"/>
      <c r="Z39" s="508"/>
      <c r="AA39" s="509"/>
      <c r="AB39" s="470"/>
      <c r="AC39" s="510"/>
      <c r="AD39" s="510"/>
      <c r="AE39" s="510"/>
      <c r="AF39" s="471"/>
      <c r="AG39" s="470">
        <v>3</v>
      </c>
      <c r="AH39" s="471"/>
      <c r="AI39" s="470">
        <v>2</v>
      </c>
      <c r="AJ39" s="471"/>
      <c r="AK39" s="470">
        <v>3</v>
      </c>
      <c r="AL39" s="471"/>
      <c r="AM39" s="472">
        <f t="shared" si="3"/>
        <v>2.6666666666666665</v>
      </c>
      <c r="AN39" s="522"/>
      <c r="AO39" s="473"/>
    </row>
    <row r="40" spans="2:41" ht="24.95" customHeight="1" x14ac:dyDescent="0.2">
      <c r="B40" s="507">
        <f t="shared" si="0"/>
        <v>93600</v>
      </c>
      <c r="C40" s="508"/>
      <c r="D40" s="508"/>
      <c r="E40" s="509"/>
      <c r="F40" s="470"/>
      <c r="G40" s="510"/>
      <c r="H40" s="510"/>
      <c r="I40" s="510"/>
      <c r="J40" s="510"/>
      <c r="K40" s="471"/>
      <c r="L40" s="470">
        <v>3</v>
      </c>
      <c r="M40" s="471"/>
      <c r="N40" s="470">
        <v>2</v>
      </c>
      <c r="O40" s="471"/>
      <c r="P40" s="470">
        <v>3</v>
      </c>
      <c r="Q40" s="471"/>
      <c r="R40" s="472">
        <f t="shared" si="1"/>
        <v>2.6666666666666665</v>
      </c>
      <c r="S40" s="473"/>
      <c r="T40" s="35"/>
      <c r="U40" s="36"/>
      <c r="V40" s="507">
        <f t="shared" si="2"/>
        <v>97800</v>
      </c>
      <c r="W40" s="508"/>
      <c r="X40" s="508"/>
      <c r="Y40" s="508"/>
      <c r="Z40" s="508"/>
      <c r="AA40" s="509"/>
      <c r="AB40" s="470"/>
      <c r="AC40" s="510"/>
      <c r="AD40" s="510"/>
      <c r="AE40" s="510"/>
      <c r="AF40" s="471"/>
      <c r="AG40" s="470">
        <v>3</v>
      </c>
      <c r="AH40" s="471"/>
      <c r="AI40" s="470">
        <v>2</v>
      </c>
      <c r="AJ40" s="471"/>
      <c r="AK40" s="470">
        <v>3</v>
      </c>
      <c r="AL40" s="471"/>
      <c r="AM40" s="472">
        <f t="shared" si="3"/>
        <v>2.6666666666666665</v>
      </c>
      <c r="AN40" s="522"/>
      <c r="AO40" s="473"/>
    </row>
    <row r="41" spans="2:41" ht="24.95" customHeight="1" x14ac:dyDescent="0.2">
      <c r="B41" s="507">
        <f t="shared" si="0"/>
        <v>93800</v>
      </c>
      <c r="C41" s="508"/>
      <c r="D41" s="508"/>
      <c r="E41" s="509"/>
      <c r="F41" s="470"/>
      <c r="G41" s="510"/>
      <c r="H41" s="510"/>
      <c r="I41" s="510"/>
      <c r="J41" s="510"/>
      <c r="K41" s="471"/>
      <c r="L41" s="470">
        <v>3</v>
      </c>
      <c r="M41" s="471"/>
      <c r="N41" s="470">
        <v>2</v>
      </c>
      <c r="O41" s="471"/>
      <c r="P41" s="470">
        <v>3</v>
      </c>
      <c r="Q41" s="471"/>
      <c r="R41" s="472">
        <f t="shared" si="1"/>
        <v>2.6666666666666665</v>
      </c>
      <c r="S41" s="473"/>
      <c r="T41" s="35"/>
      <c r="U41" s="36"/>
      <c r="V41" s="507">
        <f t="shared" si="2"/>
        <v>98000</v>
      </c>
      <c r="W41" s="508"/>
      <c r="X41" s="508"/>
      <c r="Y41" s="508"/>
      <c r="Z41" s="508"/>
      <c r="AA41" s="509"/>
      <c r="AB41" s="470"/>
      <c r="AC41" s="510"/>
      <c r="AD41" s="510"/>
      <c r="AE41" s="510"/>
      <c r="AF41" s="471"/>
      <c r="AG41" s="470">
        <v>3</v>
      </c>
      <c r="AH41" s="471"/>
      <c r="AI41" s="470">
        <v>2</v>
      </c>
      <c r="AJ41" s="471"/>
      <c r="AK41" s="470">
        <v>3</v>
      </c>
      <c r="AL41" s="471"/>
      <c r="AM41" s="472">
        <f t="shared" si="3"/>
        <v>2.6666666666666665</v>
      </c>
      <c r="AN41" s="522"/>
      <c r="AO41" s="473"/>
    </row>
    <row r="42" spans="2:41" ht="24.95" customHeight="1" x14ac:dyDescent="0.2">
      <c r="B42" s="507">
        <f t="shared" si="0"/>
        <v>94000</v>
      </c>
      <c r="C42" s="508"/>
      <c r="D42" s="508"/>
      <c r="E42" s="509"/>
      <c r="F42" s="470"/>
      <c r="G42" s="510"/>
      <c r="H42" s="510"/>
      <c r="I42" s="510"/>
      <c r="J42" s="510"/>
      <c r="K42" s="471"/>
      <c r="L42" s="470">
        <v>2</v>
      </c>
      <c r="M42" s="471"/>
      <c r="N42" s="470">
        <v>2</v>
      </c>
      <c r="O42" s="471"/>
      <c r="P42" s="470">
        <v>3</v>
      </c>
      <c r="Q42" s="471"/>
      <c r="R42" s="472">
        <f t="shared" si="1"/>
        <v>2.3333333333333335</v>
      </c>
      <c r="S42" s="473"/>
      <c r="T42" s="35"/>
      <c r="U42" s="36"/>
      <c r="V42" s="507">
        <f t="shared" si="2"/>
        <v>98200</v>
      </c>
      <c r="W42" s="508"/>
      <c r="X42" s="508"/>
      <c r="Y42" s="508"/>
      <c r="Z42" s="508"/>
      <c r="AA42" s="509"/>
      <c r="AB42" s="470"/>
      <c r="AC42" s="510"/>
      <c r="AD42" s="510"/>
      <c r="AE42" s="510"/>
      <c r="AF42" s="471"/>
      <c r="AG42" s="470">
        <v>3</v>
      </c>
      <c r="AH42" s="471"/>
      <c r="AI42" s="470">
        <v>2</v>
      </c>
      <c r="AJ42" s="471"/>
      <c r="AK42" s="470">
        <v>3</v>
      </c>
      <c r="AL42" s="471"/>
      <c r="AM42" s="472">
        <f t="shared" si="3"/>
        <v>2.6666666666666665</v>
      </c>
      <c r="AN42" s="522"/>
      <c r="AO42" s="473"/>
    </row>
    <row r="43" spans="2:41" ht="24.95" customHeight="1" x14ac:dyDescent="0.2">
      <c r="B43" s="507">
        <f t="shared" si="0"/>
        <v>94200</v>
      </c>
      <c r="C43" s="508"/>
      <c r="D43" s="508"/>
      <c r="E43" s="509"/>
      <c r="F43" s="470"/>
      <c r="G43" s="510"/>
      <c r="H43" s="510"/>
      <c r="I43" s="510"/>
      <c r="J43" s="510"/>
      <c r="K43" s="471"/>
      <c r="L43" s="470">
        <v>3</v>
      </c>
      <c r="M43" s="471"/>
      <c r="N43" s="470">
        <v>2</v>
      </c>
      <c r="O43" s="471"/>
      <c r="P43" s="470">
        <v>2</v>
      </c>
      <c r="Q43" s="471"/>
      <c r="R43" s="472">
        <f t="shared" si="1"/>
        <v>2.3333333333333335</v>
      </c>
      <c r="S43" s="473"/>
      <c r="T43" s="35"/>
      <c r="U43" s="36"/>
      <c r="V43" s="507">
        <f>V42+130</f>
        <v>98330</v>
      </c>
      <c r="W43" s="508"/>
      <c r="X43" s="508"/>
      <c r="Y43" s="508"/>
      <c r="Z43" s="508"/>
      <c r="AA43" s="509"/>
      <c r="AB43" s="470"/>
      <c r="AC43" s="510"/>
      <c r="AD43" s="510"/>
      <c r="AE43" s="510"/>
      <c r="AF43" s="471"/>
      <c r="AG43" s="470">
        <v>3</v>
      </c>
      <c r="AH43" s="471"/>
      <c r="AI43" s="470">
        <v>2</v>
      </c>
      <c r="AJ43" s="471"/>
      <c r="AK43" s="470">
        <v>3</v>
      </c>
      <c r="AL43" s="471"/>
      <c r="AM43" s="472">
        <f t="shared" si="3"/>
        <v>2.6666666666666665</v>
      </c>
      <c r="AN43" s="522"/>
      <c r="AO43" s="473"/>
    </row>
    <row r="44" spans="2:41" ht="24.95" customHeight="1" x14ac:dyDescent="0.2">
      <c r="B44" s="507">
        <f t="shared" si="0"/>
        <v>94400</v>
      </c>
      <c r="C44" s="508"/>
      <c r="D44" s="508"/>
      <c r="E44" s="509"/>
      <c r="F44" s="470"/>
      <c r="G44" s="510"/>
      <c r="H44" s="510"/>
      <c r="I44" s="510"/>
      <c r="J44" s="510"/>
      <c r="K44" s="471"/>
      <c r="L44" s="470">
        <v>3</v>
      </c>
      <c r="M44" s="471"/>
      <c r="N44" s="470">
        <v>2</v>
      </c>
      <c r="O44" s="471"/>
      <c r="P44" s="470">
        <v>3</v>
      </c>
      <c r="Q44" s="471"/>
      <c r="R44" s="472">
        <f t="shared" si="1"/>
        <v>2.6666666666666665</v>
      </c>
      <c r="S44" s="473"/>
      <c r="T44" s="35"/>
      <c r="U44" s="36"/>
      <c r="V44" s="507"/>
      <c r="W44" s="508"/>
      <c r="X44" s="508"/>
      <c r="Y44" s="508"/>
      <c r="Z44" s="508"/>
      <c r="AA44" s="509"/>
      <c r="AB44" s="470"/>
      <c r="AC44" s="510"/>
      <c r="AD44" s="510"/>
      <c r="AE44" s="510"/>
      <c r="AF44" s="471"/>
      <c r="AG44" s="470"/>
      <c r="AH44" s="471"/>
      <c r="AI44" s="470"/>
      <c r="AJ44" s="471"/>
      <c r="AK44" s="470"/>
      <c r="AL44" s="471"/>
      <c r="AM44" s="472"/>
      <c r="AN44" s="522"/>
      <c r="AO44" s="473"/>
    </row>
    <row r="45" spans="2:41" ht="24.95" customHeight="1" x14ac:dyDescent="0.2">
      <c r="B45" s="507">
        <f t="shared" si="0"/>
        <v>94600</v>
      </c>
      <c r="C45" s="508"/>
      <c r="D45" s="508"/>
      <c r="E45" s="509"/>
      <c r="F45" s="470"/>
      <c r="G45" s="510"/>
      <c r="H45" s="510"/>
      <c r="I45" s="510"/>
      <c r="J45" s="510"/>
      <c r="K45" s="471"/>
      <c r="L45" s="470">
        <v>2</v>
      </c>
      <c r="M45" s="471"/>
      <c r="N45" s="470">
        <v>2</v>
      </c>
      <c r="O45" s="471"/>
      <c r="P45" s="470">
        <v>3</v>
      </c>
      <c r="Q45" s="471"/>
      <c r="R45" s="472">
        <f>AVERAGE(L45:Q45)</f>
        <v>2.3333333333333335</v>
      </c>
      <c r="S45" s="473"/>
      <c r="T45" s="35"/>
      <c r="U45" s="36"/>
      <c r="V45" s="507"/>
      <c r="W45" s="508"/>
      <c r="X45" s="508"/>
      <c r="Y45" s="508"/>
      <c r="Z45" s="508"/>
      <c r="AA45" s="509"/>
      <c r="AB45" s="470"/>
      <c r="AC45" s="510"/>
      <c r="AD45" s="510"/>
      <c r="AE45" s="510"/>
      <c r="AF45" s="471"/>
      <c r="AG45" s="470"/>
      <c r="AH45" s="471"/>
      <c r="AI45" s="470"/>
      <c r="AJ45" s="471"/>
      <c r="AK45" s="470"/>
      <c r="AL45" s="471"/>
      <c r="AM45" s="472"/>
      <c r="AN45" s="522"/>
      <c r="AO45" s="473"/>
    </row>
    <row r="46" spans="2:41" ht="24.95" customHeight="1" x14ac:dyDescent="0.2">
      <c r="B46" s="507">
        <f t="shared" si="0"/>
        <v>94800</v>
      </c>
      <c r="C46" s="508"/>
      <c r="D46" s="508"/>
      <c r="E46" s="509"/>
      <c r="F46" s="470"/>
      <c r="G46" s="510"/>
      <c r="H46" s="510"/>
      <c r="I46" s="510"/>
      <c r="J46" s="510"/>
      <c r="K46" s="471"/>
      <c r="L46" s="470">
        <v>3</v>
      </c>
      <c r="M46" s="471"/>
      <c r="N46" s="470">
        <v>2</v>
      </c>
      <c r="O46" s="471"/>
      <c r="P46" s="470">
        <v>3</v>
      </c>
      <c r="Q46" s="471"/>
      <c r="R46" s="472">
        <f t="shared" si="1"/>
        <v>2.6666666666666665</v>
      </c>
      <c r="S46" s="473"/>
      <c r="T46" s="35"/>
      <c r="U46" s="36"/>
      <c r="V46" s="507"/>
      <c r="W46" s="508"/>
      <c r="X46" s="508"/>
      <c r="Y46" s="508"/>
      <c r="Z46" s="508"/>
      <c r="AA46" s="509"/>
      <c r="AB46" s="470"/>
      <c r="AC46" s="510"/>
      <c r="AD46" s="510"/>
      <c r="AE46" s="510"/>
      <c r="AF46" s="471"/>
      <c r="AG46" s="470"/>
      <c r="AH46" s="471"/>
      <c r="AI46" s="470"/>
      <c r="AJ46" s="471"/>
      <c r="AK46" s="470"/>
      <c r="AL46" s="471"/>
      <c r="AM46" s="472"/>
      <c r="AN46" s="522"/>
      <c r="AO46" s="473"/>
    </row>
    <row r="47" spans="2:41" ht="24.95" customHeight="1" x14ac:dyDescent="0.2">
      <c r="B47" s="507">
        <f t="shared" si="0"/>
        <v>95000</v>
      </c>
      <c r="C47" s="508"/>
      <c r="D47" s="508"/>
      <c r="E47" s="509"/>
      <c r="F47" s="470"/>
      <c r="G47" s="510"/>
      <c r="H47" s="510"/>
      <c r="I47" s="510"/>
      <c r="J47" s="510"/>
      <c r="K47" s="471"/>
      <c r="L47" s="470">
        <v>3</v>
      </c>
      <c r="M47" s="471"/>
      <c r="N47" s="470">
        <v>2</v>
      </c>
      <c r="O47" s="471"/>
      <c r="P47" s="470">
        <v>3</v>
      </c>
      <c r="Q47" s="471"/>
      <c r="R47" s="472">
        <f t="shared" si="1"/>
        <v>2.6666666666666665</v>
      </c>
      <c r="S47" s="473"/>
      <c r="T47" s="35"/>
      <c r="U47" s="36"/>
      <c r="V47" s="507"/>
      <c r="W47" s="508"/>
      <c r="X47" s="508"/>
      <c r="Y47" s="508"/>
      <c r="Z47" s="508"/>
      <c r="AA47" s="509"/>
      <c r="AB47" s="470"/>
      <c r="AC47" s="510"/>
      <c r="AD47" s="510"/>
      <c r="AE47" s="510"/>
      <c r="AF47" s="471"/>
      <c r="AG47" s="470"/>
      <c r="AH47" s="471"/>
      <c r="AI47" s="470"/>
      <c r="AJ47" s="471"/>
      <c r="AK47" s="470"/>
      <c r="AL47" s="471"/>
      <c r="AM47" s="472"/>
      <c r="AN47" s="522"/>
      <c r="AO47" s="473"/>
    </row>
    <row r="48" spans="2:41" ht="24.95" customHeight="1" x14ac:dyDescent="0.2">
      <c r="B48" s="507">
        <f t="shared" si="0"/>
        <v>95200</v>
      </c>
      <c r="C48" s="508"/>
      <c r="D48" s="508"/>
      <c r="E48" s="509"/>
      <c r="F48" s="470"/>
      <c r="G48" s="510"/>
      <c r="H48" s="510"/>
      <c r="I48" s="510"/>
      <c r="J48" s="510"/>
      <c r="K48" s="471"/>
      <c r="L48" s="470">
        <v>2</v>
      </c>
      <c r="M48" s="471"/>
      <c r="N48" s="470">
        <v>2</v>
      </c>
      <c r="O48" s="471"/>
      <c r="P48" s="470">
        <v>3</v>
      </c>
      <c r="Q48" s="471"/>
      <c r="R48" s="472">
        <f t="shared" si="1"/>
        <v>2.3333333333333335</v>
      </c>
      <c r="S48" s="473"/>
      <c r="T48" s="35"/>
      <c r="U48" s="36"/>
      <c r="V48" s="507"/>
      <c r="W48" s="508"/>
      <c r="X48" s="508"/>
      <c r="Y48" s="508"/>
      <c r="Z48" s="508"/>
      <c r="AA48" s="509"/>
      <c r="AB48" s="470"/>
      <c r="AC48" s="510"/>
      <c r="AD48" s="510"/>
      <c r="AE48" s="510"/>
      <c r="AF48" s="471"/>
      <c r="AG48" s="470"/>
      <c r="AH48" s="471"/>
      <c r="AI48" s="470"/>
      <c r="AJ48" s="471"/>
      <c r="AK48" s="470"/>
      <c r="AL48" s="471"/>
      <c r="AM48" s="472"/>
      <c r="AN48" s="522"/>
      <c r="AO48" s="473"/>
    </row>
    <row r="49" spans="2:41" ht="24.95" customHeight="1" x14ac:dyDescent="0.2">
      <c r="B49" s="507">
        <f t="shared" si="0"/>
        <v>95400</v>
      </c>
      <c r="C49" s="508"/>
      <c r="D49" s="508"/>
      <c r="E49" s="509"/>
      <c r="F49" s="470"/>
      <c r="G49" s="510"/>
      <c r="H49" s="510"/>
      <c r="I49" s="510"/>
      <c r="J49" s="510"/>
      <c r="K49" s="471"/>
      <c r="L49" s="470">
        <v>3</v>
      </c>
      <c r="M49" s="471"/>
      <c r="N49" s="470">
        <v>2</v>
      </c>
      <c r="O49" s="471"/>
      <c r="P49" s="470">
        <v>2</v>
      </c>
      <c r="Q49" s="471"/>
      <c r="R49" s="472">
        <f t="shared" si="1"/>
        <v>2.3333333333333335</v>
      </c>
      <c r="S49" s="473"/>
      <c r="T49" s="35"/>
      <c r="U49" s="36"/>
      <c r="V49" s="507"/>
      <c r="W49" s="508"/>
      <c r="X49" s="508"/>
      <c r="Y49" s="508"/>
      <c r="Z49" s="508"/>
      <c r="AA49" s="509"/>
      <c r="AB49" s="470"/>
      <c r="AC49" s="510"/>
      <c r="AD49" s="510"/>
      <c r="AE49" s="510"/>
      <c r="AF49" s="471"/>
      <c r="AG49" s="470"/>
      <c r="AH49" s="471"/>
      <c r="AI49" s="470"/>
      <c r="AJ49" s="471"/>
      <c r="AK49" s="470"/>
      <c r="AL49" s="471"/>
      <c r="AM49" s="472"/>
      <c r="AN49" s="522"/>
      <c r="AO49" s="473"/>
    </row>
    <row r="50" spans="2:41" ht="24.95" customHeight="1" x14ac:dyDescent="0.2">
      <c r="B50" s="507">
        <f t="shared" si="0"/>
        <v>95600</v>
      </c>
      <c r="C50" s="508"/>
      <c r="D50" s="508"/>
      <c r="E50" s="509"/>
      <c r="F50" s="470"/>
      <c r="G50" s="510"/>
      <c r="H50" s="510"/>
      <c r="I50" s="510"/>
      <c r="J50" s="510"/>
      <c r="K50" s="471"/>
      <c r="L50" s="470">
        <v>3</v>
      </c>
      <c r="M50" s="471"/>
      <c r="N50" s="470">
        <v>2</v>
      </c>
      <c r="O50" s="471"/>
      <c r="P50" s="470">
        <v>3</v>
      </c>
      <c r="Q50" s="471"/>
      <c r="R50" s="472">
        <f t="shared" si="1"/>
        <v>2.6666666666666665</v>
      </c>
      <c r="S50" s="473"/>
      <c r="T50" s="35"/>
      <c r="U50" s="36"/>
      <c r="V50" s="507"/>
      <c r="W50" s="508"/>
      <c r="X50" s="508"/>
      <c r="Y50" s="508"/>
      <c r="Z50" s="508"/>
      <c r="AA50" s="509"/>
      <c r="AB50" s="470"/>
      <c r="AC50" s="510"/>
      <c r="AD50" s="510"/>
      <c r="AE50" s="510"/>
      <c r="AF50" s="471"/>
      <c r="AG50" s="470"/>
      <c r="AH50" s="471"/>
      <c r="AI50" s="470"/>
      <c r="AJ50" s="471"/>
      <c r="AK50" s="470"/>
      <c r="AL50" s="471"/>
      <c r="AM50" s="472"/>
      <c r="AN50" s="522"/>
      <c r="AO50" s="473"/>
    </row>
    <row r="51" spans="2:41" ht="24.95" customHeight="1" thickBot="1" x14ac:dyDescent="0.25">
      <c r="B51" s="514">
        <f t="shared" si="0"/>
        <v>95800</v>
      </c>
      <c r="C51" s="515"/>
      <c r="D51" s="515"/>
      <c r="E51" s="516"/>
      <c r="F51" s="517"/>
      <c r="G51" s="518"/>
      <c r="H51" s="518"/>
      <c r="I51" s="518"/>
      <c r="J51" s="518"/>
      <c r="K51" s="519"/>
      <c r="L51" s="517">
        <v>3</v>
      </c>
      <c r="M51" s="519"/>
      <c r="N51" s="517">
        <v>2</v>
      </c>
      <c r="O51" s="519"/>
      <c r="P51" s="517">
        <v>2</v>
      </c>
      <c r="Q51" s="519"/>
      <c r="R51" s="520">
        <f>AVERAGE(L51:Q51)</f>
        <v>2.3333333333333335</v>
      </c>
      <c r="S51" s="521"/>
      <c r="T51" s="35"/>
      <c r="U51" s="36"/>
      <c r="V51" s="514"/>
      <c r="W51" s="515"/>
      <c r="X51" s="515"/>
      <c r="Y51" s="515"/>
      <c r="Z51" s="515"/>
      <c r="AA51" s="516"/>
      <c r="AB51" s="517"/>
      <c r="AC51" s="518"/>
      <c r="AD51" s="518"/>
      <c r="AE51" s="518"/>
      <c r="AF51" s="519"/>
      <c r="AG51" s="517"/>
      <c r="AH51" s="519"/>
      <c r="AI51" s="517"/>
      <c r="AJ51" s="519"/>
      <c r="AK51" s="517"/>
      <c r="AL51" s="519"/>
      <c r="AM51" s="520"/>
      <c r="AN51" s="532"/>
      <c r="AO51" s="521"/>
    </row>
    <row r="52" spans="2:4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3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2:41" x14ac:dyDescent="0.2">
      <c r="B53" s="3" t="s">
        <v>30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2:41" x14ac:dyDescent="0.2"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2:41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2:4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</sheetData>
  <mergeCells count="285">
    <mergeCell ref="B6:AO6"/>
    <mergeCell ref="B8:O9"/>
    <mergeCell ref="P8:AE9"/>
    <mergeCell ref="AF8:AO9"/>
    <mergeCell ref="E11:O11"/>
    <mergeCell ref="S11:AE11"/>
    <mergeCell ref="B15:O15"/>
    <mergeCell ref="P15:AE15"/>
    <mergeCell ref="AF15:AO15"/>
    <mergeCell ref="P16:P17"/>
    <mergeCell ref="Q16:AE17"/>
    <mergeCell ref="E17:G17"/>
    <mergeCell ref="I17:K17"/>
    <mergeCell ref="M17:O17"/>
    <mergeCell ref="AI17:AO17"/>
    <mergeCell ref="Q18:AE18"/>
    <mergeCell ref="Q19:AE19"/>
    <mergeCell ref="E20:N20"/>
    <mergeCell ref="Q20:AE20"/>
    <mergeCell ref="B28:E30"/>
    <mergeCell ref="F28:K30"/>
    <mergeCell ref="L28:S28"/>
    <mergeCell ref="V28:AA30"/>
    <mergeCell ref="AB28:AF30"/>
    <mergeCell ref="AG28:AO28"/>
    <mergeCell ref="L29:M30"/>
    <mergeCell ref="N29:O30"/>
    <mergeCell ref="P29:Q30"/>
    <mergeCell ref="R29:S30"/>
    <mergeCell ref="AG29:AH30"/>
    <mergeCell ref="AI29:AJ30"/>
    <mergeCell ref="AK29:AL30"/>
    <mergeCell ref="AM29:AO30"/>
    <mergeCell ref="V31:AA31"/>
    <mergeCell ref="AB31:AF31"/>
    <mergeCell ref="AG31:AH31"/>
    <mergeCell ref="AI31:AJ31"/>
    <mergeCell ref="AK31:AL31"/>
    <mergeCell ref="AM31:AO31"/>
    <mergeCell ref="B31:E31"/>
    <mergeCell ref="F31:K31"/>
    <mergeCell ref="L31:M31"/>
    <mergeCell ref="N31:O31"/>
    <mergeCell ref="P31:Q31"/>
    <mergeCell ref="R31:S31"/>
    <mergeCell ref="V32:AA32"/>
    <mergeCell ref="AB32:AF32"/>
    <mergeCell ref="AG32:AH32"/>
    <mergeCell ref="AI32:AJ32"/>
    <mergeCell ref="AK32:AL32"/>
    <mergeCell ref="AM32:AO32"/>
    <mergeCell ref="B32:E32"/>
    <mergeCell ref="F32:K32"/>
    <mergeCell ref="L32:M32"/>
    <mergeCell ref="N32:O32"/>
    <mergeCell ref="P32:Q32"/>
    <mergeCell ref="R32:S32"/>
    <mergeCell ref="V33:AA33"/>
    <mergeCell ref="AB33:AF33"/>
    <mergeCell ref="AG33:AH33"/>
    <mergeCell ref="AI33:AJ33"/>
    <mergeCell ref="AK33:AL33"/>
    <mergeCell ref="AM33:AO33"/>
    <mergeCell ref="B33:E33"/>
    <mergeCell ref="F33:K33"/>
    <mergeCell ref="L33:M33"/>
    <mergeCell ref="N33:O33"/>
    <mergeCell ref="P33:Q33"/>
    <mergeCell ref="R33:S33"/>
    <mergeCell ref="V34:AA34"/>
    <mergeCell ref="AB34:AF34"/>
    <mergeCell ref="AG34:AH34"/>
    <mergeCell ref="AI34:AJ34"/>
    <mergeCell ref="AK34:AL34"/>
    <mergeCell ref="AM34:AO34"/>
    <mergeCell ref="B34:E34"/>
    <mergeCell ref="F34:K34"/>
    <mergeCell ref="L34:M34"/>
    <mergeCell ref="N34:O34"/>
    <mergeCell ref="P34:Q34"/>
    <mergeCell ref="R34:S34"/>
    <mergeCell ref="V35:AA35"/>
    <mergeCell ref="AB35:AF35"/>
    <mergeCell ref="AG35:AH35"/>
    <mergeCell ref="AI35:AJ35"/>
    <mergeCell ref="AK35:AL35"/>
    <mergeCell ref="AM35:AO35"/>
    <mergeCell ref="B35:E35"/>
    <mergeCell ref="F35:K35"/>
    <mergeCell ref="L35:M35"/>
    <mergeCell ref="N35:O35"/>
    <mergeCell ref="P35:Q35"/>
    <mergeCell ref="R35:S35"/>
    <mergeCell ref="V36:AA36"/>
    <mergeCell ref="AB36:AF36"/>
    <mergeCell ref="AG36:AH36"/>
    <mergeCell ref="AI36:AJ36"/>
    <mergeCell ref="AK36:AL36"/>
    <mergeCell ref="AM36:AO36"/>
    <mergeCell ref="B36:E36"/>
    <mergeCell ref="F36:K36"/>
    <mergeCell ref="L36:M36"/>
    <mergeCell ref="N36:O36"/>
    <mergeCell ref="P36:Q36"/>
    <mergeCell ref="R36:S36"/>
    <mergeCell ref="V37:AA37"/>
    <mergeCell ref="AB37:AF37"/>
    <mergeCell ref="AG37:AH37"/>
    <mergeCell ref="AI37:AJ37"/>
    <mergeCell ref="AK37:AL37"/>
    <mergeCell ref="AM37:AO37"/>
    <mergeCell ref="B37:E37"/>
    <mergeCell ref="F37:K37"/>
    <mergeCell ref="L37:M37"/>
    <mergeCell ref="N37:O37"/>
    <mergeCell ref="P37:Q37"/>
    <mergeCell ref="R37:S37"/>
    <mergeCell ref="V38:AA38"/>
    <mergeCell ref="AB38:AF38"/>
    <mergeCell ref="AG38:AH38"/>
    <mergeCell ref="AI38:AJ38"/>
    <mergeCell ref="AK38:AL38"/>
    <mergeCell ref="AM38:AO38"/>
    <mergeCell ref="B38:E38"/>
    <mergeCell ref="F38:K38"/>
    <mergeCell ref="L38:M38"/>
    <mergeCell ref="N38:O38"/>
    <mergeCell ref="P38:Q38"/>
    <mergeCell ref="R38:S38"/>
    <mergeCell ref="V39:AA39"/>
    <mergeCell ref="AB39:AF39"/>
    <mergeCell ref="AG39:AH39"/>
    <mergeCell ref="AI39:AJ39"/>
    <mergeCell ref="AK39:AL39"/>
    <mergeCell ref="AM39:AO39"/>
    <mergeCell ref="B39:E39"/>
    <mergeCell ref="F39:K39"/>
    <mergeCell ref="L39:M39"/>
    <mergeCell ref="N39:O39"/>
    <mergeCell ref="P39:Q39"/>
    <mergeCell ref="R39:S39"/>
    <mergeCell ref="V40:AA40"/>
    <mergeCell ref="AB40:AF40"/>
    <mergeCell ref="AG40:AH40"/>
    <mergeCell ref="AI40:AJ40"/>
    <mergeCell ref="AK40:AL40"/>
    <mergeCell ref="AM40:AO40"/>
    <mergeCell ref="B40:E40"/>
    <mergeCell ref="F40:K40"/>
    <mergeCell ref="L40:M40"/>
    <mergeCell ref="N40:O40"/>
    <mergeCell ref="P40:Q40"/>
    <mergeCell ref="R40:S40"/>
    <mergeCell ref="V41:AA41"/>
    <mergeCell ref="AB41:AF41"/>
    <mergeCell ref="AG41:AH41"/>
    <mergeCell ref="AI41:AJ41"/>
    <mergeCell ref="AK41:AL41"/>
    <mergeCell ref="AM41:AO41"/>
    <mergeCell ref="B41:E41"/>
    <mergeCell ref="F41:K41"/>
    <mergeCell ref="L41:M41"/>
    <mergeCell ref="N41:O41"/>
    <mergeCell ref="P41:Q41"/>
    <mergeCell ref="R41:S41"/>
    <mergeCell ref="V42:AA42"/>
    <mergeCell ref="AB42:AF42"/>
    <mergeCell ref="AG42:AH42"/>
    <mergeCell ref="AI42:AJ42"/>
    <mergeCell ref="AK42:AL42"/>
    <mergeCell ref="AM42:AO42"/>
    <mergeCell ref="B42:E42"/>
    <mergeCell ref="F42:K42"/>
    <mergeCell ref="L42:M42"/>
    <mergeCell ref="N42:O42"/>
    <mergeCell ref="P42:Q42"/>
    <mergeCell ref="R42:S42"/>
    <mergeCell ref="V43:AA43"/>
    <mergeCell ref="AB43:AF43"/>
    <mergeCell ref="AG43:AH43"/>
    <mergeCell ref="AI43:AJ43"/>
    <mergeCell ref="AK43:AL43"/>
    <mergeCell ref="AM43:AO43"/>
    <mergeCell ref="B43:E43"/>
    <mergeCell ref="F43:K43"/>
    <mergeCell ref="L43:M43"/>
    <mergeCell ref="N43:O43"/>
    <mergeCell ref="P43:Q43"/>
    <mergeCell ref="R43:S43"/>
    <mergeCell ref="V44:AA44"/>
    <mergeCell ref="AB44:AF44"/>
    <mergeCell ref="AG44:AH44"/>
    <mergeCell ref="AI44:AJ44"/>
    <mergeCell ref="AK44:AL44"/>
    <mergeCell ref="AM44:AO44"/>
    <mergeCell ref="B44:E44"/>
    <mergeCell ref="F44:K44"/>
    <mergeCell ref="L44:M44"/>
    <mergeCell ref="N44:O44"/>
    <mergeCell ref="P44:Q44"/>
    <mergeCell ref="R44:S44"/>
    <mergeCell ref="V45:AA45"/>
    <mergeCell ref="AB45:AF45"/>
    <mergeCell ref="AG45:AH45"/>
    <mergeCell ref="AI45:AJ45"/>
    <mergeCell ref="AK45:AL45"/>
    <mergeCell ref="AM45:AO45"/>
    <mergeCell ref="B45:E45"/>
    <mergeCell ref="F45:K45"/>
    <mergeCell ref="L45:M45"/>
    <mergeCell ref="N45:O45"/>
    <mergeCell ref="P45:Q45"/>
    <mergeCell ref="R45:S45"/>
    <mergeCell ref="V46:AA46"/>
    <mergeCell ref="AB46:AF46"/>
    <mergeCell ref="AG46:AH46"/>
    <mergeCell ref="AI46:AJ46"/>
    <mergeCell ref="AK46:AL46"/>
    <mergeCell ref="AM46:AO46"/>
    <mergeCell ref="B46:E46"/>
    <mergeCell ref="F46:K46"/>
    <mergeCell ref="L46:M46"/>
    <mergeCell ref="N46:O46"/>
    <mergeCell ref="P46:Q46"/>
    <mergeCell ref="R46:S46"/>
    <mergeCell ref="V47:AA47"/>
    <mergeCell ref="AB47:AF47"/>
    <mergeCell ref="AG47:AH47"/>
    <mergeCell ref="AI47:AJ47"/>
    <mergeCell ref="AK47:AL47"/>
    <mergeCell ref="AM47:AO47"/>
    <mergeCell ref="B47:E47"/>
    <mergeCell ref="F47:K47"/>
    <mergeCell ref="L47:M47"/>
    <mergeCell ref="N47:O47"/>
    <mergeCell ref="P47:Q47"/>
    <mergeCell ref="R47:S47"/>
    <mergeCell ref="V48:AA48"/>
    <mergeCell ref="AB48:AF48"/>
    <mergeCell ref="AG48:AH48"/>
    <mergeCell ref="AI48:AJ48"/>
    <mergeCell ref="AK48:AL48"/>
    <mergeCell ref="AM48:AO48"/>
    <mergeCell ref="B48:E48"/>
    <mergeCell ref="F48:K48"/>
    <mergeCell ref="L48:M48"/>
    <mergeCell ref="N48:O48"/>
    <mergeCell ref="P48:Q48"/>
    <mergeCell ref="R48:S48"/>
    <mergeCell ref="V49:AA49"/>
    <mergeCell ref="AB49:AF49"/>
    <mergeCell ref="AG49:AH49"/>
    <mergeCell ref="AI49:AJ49"/>
    <mergeCell ref="AK49:AL49"/>
    <mergeCell ref="AM49:AO49"/>
    <mergeCell ref="B49:E49"/>
    <mergeCell ref="F49:K49"/>
    <mergeCell ref="L49:M49"/>
    <mergeCell ref="N49:O49"/>
    <mergeCell ref="P49:Q49"/>
    <mergeCell ref="R49:S49"/>
    <mergeCell ref="V50:AA50"/>
    <mergeCell ref="AB50:AF50"/>
    <mergeCell ref="AG50:AH50"/>
    <mergeCell ref="AI50:AJ50"/>
    <mergeCell ref="AK50:AL50"/>
    <mergeCell ref="AM50:AO50"/>
    <mergeCell ref="B50:E50"/>
    <mergeCell ref="F50:K50"/>
    <mergeCell ref="L50:M50"/>
    <mergeCell ref="N50:O50"/>
    <mergeCell ref="P50:Q50"/>
    <mergeCell ref="R50:S50"/>
    <mergeCell ref="V51:AA51"/>
    <mergeCell ref="AB51:AF51"/>
    <mergeCell ref="AG51:AH51"/>
    <mergeCell ref="AI51:AJ51"/>
    <mergeCell ref="AK51:AL51"/>
    <mergeCell ref="AM51:AO51"/>
    <mergeCell ref="B51:E51"/>
    <mergeCell ref="F51:K51"/>
    <mergeCell ref="L51:M51"/>
    <mergeCell ref="N51:O51"/>
    <mergeCell ref="P51:Q51"/>
    <mergeCell ref="R51:S51"/>
  </mergeCells>
  <pageMargins left="0.90551181102362199" right="0.74803149606299213" top="0.6692913385826772" bottom="0.98425196850393704" header="0.51181102362204722" footer="0.51181102362204722"/>
  <pageSetup paperSize="9" scale="73" orientation="portrait" r:id="rId1"/>
  <headerFooter alignWithMargins="0">
    <oddHeader>&amp;R&amp;"MS Sans Serif,Bold"&amp;13&amp;A</oddHeader>
  </headerFooter>
  <drawing r:id="rId2"/>
  <legacyDrawing r:id="rId3"/>
  <oleObjects>
    <mc:AlternateContent xmlns:mc="http://schemas.openxmlformats.org/markup-compatibility/2006">
      <mc:Choice Requires="x14">
        <oleObject progId="PBrush" shapeId="35841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142875</xdr:colOff>
                <xdr:row>3</xdr:row>
                <xdr:rowOff>76200</xdr:rowOff>
              </to>
            </anchor>
          </objectPr>
        </oleObject>
      </mc:Choice>
      <mc:Fallback>
        <oleObject progId="PBrush" shapeId="3584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O56"/>
  <sheetViews>
    <sheetView view="pageBreakPreview" topLeftCell="A31" zoomScale="115" zoomScaleNormal="75" zoomScaleSheetLayoutView="115" workbookViewId="0">
      <selection activeCell="AR49" sqref="AR49"/>
    </sheetView>
  </sheetViews>
  <sheetFormatPr defaultRowHeight="12.75" x14ac:dyDescent="0.2"/>
  <cols>
    <col min="2" max="4" width="3.7109375" customWidth="1"/>
    <col min="5" max="6" width="2.7109375" customWidth="1"/>
    <col min="7" max="7" width="1.42578125" customWidth="1"/>
    <col min="8" max="10" width="2.7109375" customWidth="1"/>
    <col min="11" max="11" width="2.5703125" customWidth="1"/>
    <col min="12" max="15" width="2.7109375" customWidth="1"/>
    <col min="16" max="16" width="3.7109375" customWidth="1"/>
    <col min="17" max="18" width="2.7109375" customWidth="1"/>
    <col min="19" max="19" width="4" customWidth="1"/>
    <col min="20" max="20" width="4.42578125" customWidth="1"/>
    <col min="21" max="31" width="2.7109375" customWidth="1"/>
    <col min="32" max="32" width="4.140625" customWidth="1"/>
    <col min="33" max="42" width="2.7109375" customWidth="1"/>
  </cols>
  <sheetData>
    <row r="2" spans="1:41" x14ac:dyDescent="0.2">
      <c r="D2" s="1" t="s">
        <v>0</v>
      </c>
      <c r="AO2" s="2"/>
    </row>
    <row r="3" spans="1:41" x14ac:dyDescent="0.2">
      <c r="D3" s="3" t="s">
        <v>1</v>
      </c>
      <c r="AO3" s="2"/>
    </row>
    <row r="4" spans="1:41" x14ac:dyDescent="0.2">
      <c r="B4" t="s">
        <v>2</v>
      </c>
    </row>
    <row r="6" spans="1:41" ht="18.75" x14ac:dyDescent="0.3">
      <c r="B6" s="523" t="s">
        <v>3</v>
      </c>
      <c r="C6" s="523"/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3"/>
      <c r="O6" s="523"/>
      <c r="P6" s="523"/>
      <c r="Q6" s="523"/>
      <c r="R6" s="523"/>
      <c r="S6" s="523"/>
      <c r="T6" s="523"/>
      <c r="U6" s="523"/>
      <c r="V6" s="523"/>
      <c r="W6" s="523"/>
      <c r="X6" s="523"/>
      <c r="Y6" s="523"/>
      <c r="Z6" s="523"/>
      <c r="AA6" s="523"/>
      <c r="AB6" s="523"/>
      <c r="AC6" s="523"/>
      <c r="AD6" s="523"/>
      <c r="AE6" s="523"/>
      <c r="AF6" s="523"/>
      <c r="AG6" s="523"/>
      <c r="AH6" s="523"/>
      <c r="AI6" s="523"/>
      <c r="AJ6" s="523"/>
      <c r="AK6" s="523"/>
      <c r="AL6" s="523"/>
      <c r="AM6" s="523"/>
      <c r="AN6" s="523"/>
      <c r="AO6" s="523"/>
    </row>
    <row r="7" spans="1:41" ht="5.25" customHeight="1" thickBot="1" x14ac:dyDescent="0.3">
      <c r="J7" s="4"/>
    </row>
    <row r="8" spans="1:41" ht="4.5" customHeight="1" x14ac:dyDescent="0.2">
      <c r="B8" s="446" t="s">
        <v>31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8"/>
      <c r="P8" s="452" t="s">
        <v>4</v>
      </c>
      <c r="Q8" s="447"/>
      <c r="R8" s="447"/>
      <c r="S8" s="447"/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8"/>
      <c r="AF8" s="452" t="s">
        <v>5</v>
      </c>
      <c r="AG8" s="447"/>
      <c r="AH8" s="447"/>
      <c r="AI8" s="447"/>
      <c r="AJ8" s="447"/>
      <c r="AK8" s="447"/>
      <c r="AL8" s="447"/>
      <c r="AM8" s="447"/>
      <c r="AN8" s="447"/>
      <c r="AO8" s="454"/>
    </row>
    <row r="9" spans="1:41" x14ac:dyDescent="0.2">
      <c r="B9" s="449"/>
      <c r="C9" s="450"/>
      <c r="D9" s="450"/>
      <c r="E9" s="450"/>
      <c r="F9" s="450"/>
      <c r="G9" s="450"/>
      <c r="H9" s="450"/>
      <c r="I9" s="450"/>
      <c r="J9" s="450"/>
      <c r="K9" s="450"/>
      <c r="L9" s="450"/>
      <c r="M9" s="450"/>
      <c r="N9" s="450"/>
      <c r="O9" s="451"/>
      <c r="P9" s="453"/>
      <c r="Q9" s="450"/>
      <c r="R9" s="450"/>
      <c r="S9" s="450"/>
      <c r="T9" s="450"/>
      <c r="U9" s="450"/>
      <c r="V9" s="450"/>
      <c r="W9" s="450"/>
      <c r="X9" s="450"/>
      <c r="Y9" s="450"/>
      <c r="Z9" s="450"/>
      <c r="AA9" s="450"/>
      <c r="AB9" s="450"/>
      <c r="AC9" s="450"/>
      <c r="AD9" s="450"/>
      <c r="AE9" s="451"/>
      <c r="AF9" s="453"/>
      <c r="AG9" s="450"/>
      <c r="AH9" s="450"/>
      <c r="AI9" s="450"/>
      <c r="AJ9" s="450"/>
      <c r="AK9" s="450"/>
      <c r="AL9" s="450"/>
      <c r="AM9" s="450"/>
      <c r="AN9" s="450"/>
      <c r="AO9" s="455"/>
    </row>
    <row r="10" spans="1:41" ht="2.25" customHeight="1" x14ac:dyDescent="0.2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7"/>
      <c r="AF10" s="6"/>
      <c r="AG10" s="6"/>
      <c r="AH10" s="6"/>
      <c r="AI10" s="6"/>
      <c r="AJ10" s="6"/>
      <c r="AK10" s="6"/>
      <c r="AL10" s="6"/>
      <c r="AM10" s="6"/>
      <c r="AN10" s="6"/>
      <c r="AO10" s="8"/>
    </row>
    <row r="11" spans="1:41" x14ac:dyDescent="0.2">
      <c r="B11" s="5" t="s">
        <v>6</v>
      </c>
      <c r="C11" s="6"/>
      <c r="D11" s="6"/>
      <c r="E11" s="456" t="s">
        <v>192</v>
      </c>
      <c r="F11" s="456"/>
      <c r="G11" s="456"/>
      <c r="H11" s="456"/>
      <c r="I11" s="456"/>
      <c r="J11" s="456"/>
      <c r="K11" s="456"/>
      <c r="L11" s="456"/>
      <c r="M11" s="456"/>
      <c r="N11" s="456"/>
      <c r="O11" s="457"/>
      <c r="P11" s="6" t="s">
        <v>6</v>
      </c>
      <c r="Q11" s="6"/>
      <c r="R11" s="6"/>
      <c r="S11" s="458" t="str">
        <f>Aspal!C4</f>
        <v>Kalimbukuni - Lahi Kaninu</v>
      </c>
      <c r="T11" s="456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7"/>
      <c r="AF11" s="6"/>
      <c r="AG11" s="6"/>
      <c r="AH11" s="6"/>
      <c r="AI11" s="6"/>
      <c r="AJ11" s="6"/>
      <c r="AK11" s="6"/>
      <c r="AL11" s="6"/>
      <c r="AM11" s="6"/>
      <c r="AN11" s="6"/>
      <c r="AO11" s="8"/>
    </row>
    <row r="12" spans="1:41" ht="15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7"/>
      <c r="AF12" s="6"/>
      <c r="AG12" s="9"/>
      <c r="AH12" s="9"/>
      <c r="AI12" s="6"/>
      <c r="AJ12" s="9"/>
      <c r="AK12" s="9"/>
      <c r="AL12" s="6"/>
      <c r="AM12" s="9"/>
      <c r="AN12" s="9"/>
      <c r="AO12" s="8"/>
    </row>
    <row r="13" spans="1:41" s="16" customFormat="1" ht="15" customHeight="1" x14ac:dyDescent="0.2">
      <c r="A13"/>
      <c r="B13" s="10" t="s">
        <v>7</v>
      </c>
      <c r="C13" s="11"/>
      <c r="D13" s="11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3"/>
      <c r="P13" s="11" t="s">
        <v>7</v>
      </c>
      <c r="Q13" s="11"/>
      <c r="R13" s="11"/>
      <c r="S13" s="11"/>
      <c r="T13" s="11"/>
      <c r="U13" s="12">
        <v>0</v>
      </c>
      <c r="V13" s="12">
        <v>0</v>
      </c>
      <c r="W13" s="12">
        <v>1</v>
      </c>
      <c r="X13" s="11"/>
      <c r="Y13" s="12"/>
      <c r="Z13" s="12"/>
      <c r="AA13" s="11"/>
      <c r="AB13" s="12"/>
      <c r="AC13" s="11"/>
      <c r="AD13" s="11"/>
      <c r="AE13" s="13"/>
      <c r="AF13" s="11"/>
      <c r="AG13" s="14" t="s">
        <v>8</v>
      </c>
      <c r="AH13" s="14"/>
      <c r="AI13" s="14"/>
      <c r="AJ13" s="14" t="s">
        <v>9</v>
      </c>
      <c r="AK13" s="14"/>
      <c r="AL13" s="14"/>
      <c r="AM13" s="14" t="s">
        <v>10</v>
      </c>
      <c r="AN13" s="11"/>
      <c r="AO13" s="15"/>
    </row>
    <row r="14" spans="1:41" s="16" customFormat="1" ht="3" customHeight="1" x14ac:dyDescent="0.2">
      <c r="A14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8"/>
      <c r="AG14" s="18"/>
      <c r="AH14" s="18"/>
      <c r="AI14" s="18"/>
      <c r="AJ14" s="18"/>
      <c r="AK14" s="18"/>
      <c r="AL14" s="18"/>
      <c r="AM14" s="18"/>
      <c r="AN14" s="18"/>
      <c r="AO14" s="20"/>
    </row>
    <row r="15" spans="1:41" s="16" customFormat="1" x14ac:dyDescent="0.2">
      <c r="A15"/>
      <c r="B15" s="468" t="s">
        <v>11</v>
      </c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3"/>
      <c r="P15" s="461" t="s">
        <v>32</v>
      </c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2"/>
      <c r="AB15" s="462"/>
      <c r="AC15" s="462"/>
      <c r="AD15" s="462"/>
      <c r="AE15" s="463"/>
      <c r="AF15" s="461" t="s">
        <v>12</v>
      </c>
      <c r="AG15" s="462"/>
      <c r="AH15" s="462"/>
      <c r="AI15" s="462"/>
      <c r="AJ15" s="462"/>
      <c r="AK15" s="462"/>
      <c r="AL15" s="462"/>
      <c r="AM15" s="462"/>
      <c r="AN15" s="462"/>
      <c r="AO15" s="469"/>
    </row>
    <row r="16" spans="1:41" s="16" customFormat="1" ht="6.75" customHeight="1" x14ac:dyDescent="0.2">
      <c r="A16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530" t="s">
        <v>14</v>
      </c>
      <c r="Q16" s="524" t="s">
        <v>15</v>
      </c>
      <c r="R16" s="525"/>
      <c r="S16" s="525"/>
      <c r="T16" s="525"/>
      <c r="U16" s="525"/>
      <c r="V16" s="525"/>
      <c r="W16" s="525"/>
      <c r="X16" s="525"/>
      <c r="Y16" s="525"/>
      <c r="Z16" s="525"/>
      <c r="AA16" s="525"/>
      <c r="AB16" s="525"/>
      <c r="AC16" s="525"/>
      <c r="AD16" s="525"/>
      <c r="AE16" s="526"/>
      <c r="AF16" s="11"/>
      <c r="AG16" s="11"/>
      <c r="AH16" s="11"/>
      <c r="AI16" s="11"/>
      <c r="AJ16" s="11"/>
      <c r="AK16" s="11"/>
      <c r="AL16" s="11"/>
      <c r="AM16" s="11"/>
      <c r="AN16" s="11"/>
      <c r="AO16" s="15"/>
    </row>
    <row r="17" spans="1:41" s="16" customFormat="1" x14ac:dyDescent="0.2">
      <c r="A17"/>
      <c r="B17" s="10" t="s">
        <v>13</v>
      </c>
      <c r="C17" s="11"/>
      <c r="D17" s="11"/>
      <c r="E17" s="459"/>
      <c r="F17" s="459"/>
      <c r="G17" s="459"/>
      <c r="H17" s="11"/>
      <c r="I17" s="459"/>
      <c r="J17" s="459"/>
      <c r="K17" s="459"/>
      <c r="L17" s="11"/>
      <c r="M17" s="459"/>
      <c r="N17" s="459"/>
      <c r="O17" s="460"/>
      <c r="P17" s="531"/>
      <c r="Q17" s="527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28"/>
      <c r="AE17" s="529"/>
      <c r="AF17" s="11" t="s">
        <v>16</v>
      </c>
      <c r="AH17" s="11"/>
      <c r="AI17" s="459" t="s">
        <v>189</v>
      </c>
      <c r="AJ17" s="459"/>
      <c r="AK17" s="459"/>
      <c r="AL17" s="459"/>
      <c r="AM17" s="459"/>
      <c r="AN17" s="459"/>
      <c r="AO17" s="467"/>
    </row>
    <row r="18" spans="1:41" s="16" customFormat="1" ht="15" customHeight="1" x14ac:dyDescent="0.2">
      <c r="A18"/>
      <c r="B18" s="17"/>
      <c r="C18" s="18"/>
      <c r="D18" s="18"/>
      <c r="E18" s="21" t="s">
        <v>17</v>
      </c>
      <c r="F18" s="21"/>
      <c r="G18" s="21"/>
      <c r="H18" s="18"/>
      <c r="I18" s="18" t="s">
        <v>18</v>
      </c>
      <c r="J18" s="18"/>
      <c r="K18" s="18"/>
      <c r="L18" s="18"/>
      <c r="M18" s="18" t="s">
        <v>10</v>
      </c>
      <c r="N18" s="18"/>
      <c r="O18" s="19"/>
      <c r="P18" s="166">
        <v>1</v>
      </c>
      <c r="Q18" s="461" t="s">
        <v>186</v>
      </c>
      <c r="R18" s="462"/>
      <c r="S18" s="462"/>
      <c r="T18" s="462"/>
      <c r="U18" s="462"/>
      <c r="V18" s="462"/>
      <c r="W18" s="462"/>
      <c r="X18" s="462"/>
      <c r="Y18" s="462"/>
      <c r="Z18" s="462"/>
      <c r="AA18" s="462"/>
      <c r="AB18" s="462"/>
      <c r="AC18" s="462"/>
      <c r="AD18" s="462"/>
      <c r="AE18" s="463"/>
      <c r="AF18" s="11"/>
      <c r="AH18" s="11"/>
      <c r="AI18" s="11"/>
      <c r="AJ18" s="11"/>
      <c r="AK18" s="11"/>
      <c r="AL18" s="11"/>
      <c r="AM18" s="11"/>
      <c r="AN18" s="11"/>
      <c r="AO18" s="15"/>
    </row>
    <row r="19" spans="1:41" s="16" customFormat="1" ht="15" customHeight="1" x14ac:dyDescent="0.2">
      <c r="A19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166">
        <v>2</v>
      </c>
      <c r="Q19" s="461" t="s">
        <v>187</v>
      </c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2"/>
      <c r="AC19" s="462"/>
      <c r="AD19" s="462"/>
      <c r="AE19" s="463"/>
      <c r="AF19" s="11"/>
      <c r="AH19" s="11"/>
      <c r="AI19" s="11"/>
      <c r="AJ19" s="11"/>
      <c r="AK19" s="11"/>
      <c r="AL19" s="11"/>
      <c r="AM19" s="11"/>
      <c r="AN19" s="11"/>
      <c r="AO19" s="15"/>
    </row>
    <row r="20" spans="1:41" s="16" customFormat="1" ht="15" customHeight="1" x14ac:dyDescent="0.2">
      <c r="A20"/>
      <c r="B20" s="10" t="s">
        <v>19</v>
      </c>
      <c r="C20" s="11"/>
      <c r="D20" s="11"/>
      <c r="E20" s="461"/>
      <c r="F20" s="462"/>
      <c r="G20" s="462"/>
      <c r="H20" s="462"/>
      <c r="I20" s="462"/>
      <c r="J20" s="462"/>
      <c r="K20" s="462"/>
      <c r="L20" s="462"/>
      <c r="M20" s="462"/>
      <c r="N20" s="463"/>
      <c r="O20" s="13"/>
      <c r="P20" s="38">
        <v>3</v>
      </c>
      <c r="Q20" s="464" t="s">
        <v>188</v>
      </c>
      <c r="R20" s="465"/>
      <c r="S20" s="465"/>
      <c r="T20" s="465"/>
      <c r="U20" s="465"/>
      <c r="V20" s="465"/>
      <c r="W20" s="465"/>
      <c r="X20" s="465"/>
      <c r="Y20" s="465"/>
      <c r="Z20" s="465"/>
      <c r="AA20" s="465"/>
      <c r="AB20" s="465"/>
      <c r="AC20" s="465"/>
      <c r="AD20" s="465"/>
      <c r="AE20" s="466"/>
      <c r="AF20" s="11"/>
      <c r="AG20" s="11"/>
      <c r="AH20" s="11"/>
      <c r="AI20" s="11"/>
      <c r="AJ20" s="11"/>
      <c r="AK20" s="11"/>
      <c r="AL20" s="11"/>
      <c r="AM20" s="11"/>
      <c r="AN20" s="11"/>
      <c r="AO20" s="15"/>
    </row>
    <row r="21" spans="1:41" s="16" customFormat="1" ht="4.5" customHeight="1" x14ac:dyDescent="0.2">
      <c r="A21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  <c r="P21" s="1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9"/>
      <c r="AF21" s="18"/>
      <c r="AG21" s="18"/>
      <c r="AH21" s="18"/>
      <c r="AI21" s="18"/>
      <c r="AJ21" s="18"/>
      <c r="AK21" s="18"/>
      <c r="AL21" s="18"/>
      <c r="AM21" s="18"/>
      <c r="AN21" s="18"/>
      <c r="AO21" s="20"/>
    </row>
    <row r="22" spans="1:41" s="16" customFormat="1" ht="2.25" customHeight="1" x14ac:dyDescent="0.2">
      <c r="A22"/>
      <c r="B22" s="10"/>
      <c r="C22" s="11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5"/>
    </row>
    <row r="23" spans="1:41" s="16" customFormat="1" ht="15" customHeight="1" x14ac:dyDescent="0.2">
      <c r="A23"/>
      <c r="B23" s="10" t="s">
        <v>20</v>
      </c>
      <c r="C23" s="11"/>
      <c r="D23" s="11"/>
      <c r="E23" s="13"/>
      <c r="F23" s="11"/>
      <c r="G23" s="11"/>
      <c r="H23" s="12"/>
      <c r="I23" s="12"/>
      <c r="J23" s="12"/>
      <c r="K23" s="22" t="s">
        <v>21</v>
      </c>
      <c r="L23" s="11"/>
      <c r="M23" s="12"/>
      <c r="N23" s="12"/>
      <c r="O23" s="12"/>
      <c r="P23" s="11"/>
      <c r="Q23" s="12"/>
      <c r="R23" s="12"/>
      <c r="S23" s="22" t="s">
        <v>21</v>
      </c>
      <c r="T23" s="22"/>
      <c r="U23" s="11"/>
      <c r="V23" s="12"/>
      <c r="W23" s="12"/>
      <c r="X23" s="12"/>
      <c r="Y23" s="12"/>
      <c r="Z23" s="12"/>
      <c r="AA23" s="12"/>
      <c r="AB23" s="11"/>
      <c r="AC23" s="12"/>
      <c r="AD23" s="12"/>
      <c r="AE23" s="22" t="s">
        <v>21</v>
      </c>
      <c r="AF23" s="11"/>
      <c r="AG23" s="11"/>
      <c r="AH23" s="11"/>
      <c r="AI23" s="11"/>
      <c r="AJ23" s="12"/>
      <c r="AK23" s="12"/>
      <c r="AL23" s="11"/>
      <c r="AM23" s="12"/>
      <c r="AN23" s="12"/>
      <c r="AO23" s="15"/>
    </row>
    <row r="24" spans="1:41" ht="15.75" customHeight="1" x14ac:dyDescent="0.2">
      <c r="B24" s="5"/>
      <c r="C24" s="6"/>
      <c r="D24" s="6"/>
      <c r="E24" s="7"/>
      <c r="F24" s="6"/>
      <c r="G24" s="6"/>
      <c r="H24" s="23" t="s">
        <v>22</v>
      </c>
      <c r="I24" s="23"/>
      <c r="J24" s="23"/>
      <c r="K24" s="23"/>
      <c r="L24" s="23"/>
      <c r="M24" s="23"/>
      <c r="N24" s="23"/>
      <c r="O24" s="23" t="s">
        <v>23</v>
      </c>
      <c r="P24" s="23"/>
      <c r="Q24" s="23"/>
      <c r="R24" s="23"/>
      <c r="S24" s="23"/>
      <c r="T24" s="23"/>
      <c r="U24" s="23"/>
      <c r="V24" s="23" t="s">
        <v>24</v>
      </c>
      <c r="W24" s="23"/>
      <c r="X24" s="6"/>
      <c r="Y24" s="6"/>
      <c r="Z24" s="6"/>
      <c r="AA24" s="6"/>
      <c r="AB24" s="6"/>
      <c r="AC24" s="6"/>
      <c r="AD24" s="6"/>
      <c r="AE24" s="6"/>
      <c r="AF24" s="6"/>
      <c r="AG24" s="23" t="s">
        <v>25</v>
      </c>
      <c r="AH24" s="23"/>
      <c r="AI24" s="23"/>
      <c r="AJ24" s="23" t="s">
        <v>26</v>
      </c>
      <c r="AK24" s="23"/>
      <c r="AL24" s="23"/>
      <c r="AM24" s="23" t="s">
        <v>27</v>
      </c>
      <c r="AN24" s="23"/>
      <c r="AO24" s="24"/>
    </row>
    <row r="25" spans="1:41" ht="15.75" x14ac:dyDescent="0.2">
      <c r="B25" s="5" t="s">
        <v>28</v>
      </c>
      <c r="C25" s="6"/>
      <c r="D25" s="6"/>
      <c r="E25" s="7"/>
      <c r="F25" s="6"/>
      <c r="G25" s="6"/>
      <c r="H25" s="9"/>
      <c r="I25" s="9"/>
      <c r="J25" s="9"/>
      <c r="K25" s="25" t="s">
        <v>21</v>
      </c>
      <c r="L25" s="6"/>
      <c r="M25" s="9"/>
      <c r="N25" s="9"/>
      <c r="O25" s="9"/>
      <c r="P25" s="9"/>
      <c r="Q25" s="9"/>
      <c r="R25" s="9"/>
      <c r="S25" s="25" t="s">
        <v>21</v>
      </c>
      <c r="T25" s="25"/>
      <c r="U25" s="6"/>
      <c r="V25" s="9"/>
      <c r="W25" s="9"/>
      <c r="X25" s="9"/>
      <c r="Y25" s="9"/>
      <c r="Z25" s="9"/>
      <c r="AA25" s="9"/>
      <c r="AB25" s="6"/>
      <c r="AC25" s="9"/>
      <c r="AD25" s="9"/>
      <c r="AE25" s="25" t="s">
        <v>21</v>
      </c>
      <c r="AF25" s="6"/>
      <c r="AG25" s="6"/>
      <c r="AH25" s="6"/>
      <c r="AI25" s="6"/>
      <c r="AJ25" s="9"/>
      <c r="AK25" s="9"/>
      <c r="AL25" s="6"/>
      <c r="AM25" s="9"/>
      <c r="AN25" s="9"/>
      <c r="AO25" s="8"/>
    </row>
    <row r="26" spans="1:41" ht="3.75" customHeight="1" thickBot="1" x14ac:dyDescent="0.25">
      <c r="B26" s="26"/>
      <c r="C26" s="27"/>
      <c r="D26" s="27"/>
      <c r="E26" s="28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9"/>
    </row>
    <row r="27" spans="1:41" ht="3.75" customHeight="1" thickBot="1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27"/>
      <c r="N27" s="30"/>
      <c r="O27" s="30"/>
      <c r="P27" s="30"/>
      <c r="Q27" s="30"/>
      <c r="R27" s="30"/>
      <c r="S27" s="30"/>
      <c r="T27" s="31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</row>
    <row r="28" spans="1:41" x14ac:dyDescent="0.2">
      <c r="B28" s="481" t="s">
        <v>33</v>
      </c>
      <c r="C28" s="482"/>
      <c r="D28" s="482"/>
      <c r="E28" s="483"/>
      <c r="F28" s="490" t="s">
        <v>36</v>
      </c>
      <c r="G28" s="491"/>
      <c r="H28" s="491"/>
      <c r="I28" s="491"/>
      <c r="J28" s="491"/>
      <c r="K28" s="492"/>
      <c r="L28" s="428" t="s">
        <v>29</v>
      </c>
      <c r="M28" s="429"/>
      <c r="N28" s="429"/>
      <c r="O28" s="429"/>
      <c r="P28" s="429"/>
      <c r="Q28" s="429"/>
      <c r="R28" s="429"/>
      <c r="S28" s="430"/>
      <c r="T28" s="32"/>
      <c r="U28" s="8"/>
      <c r="V28" s="481" t="s">
        <v>35</v>
      </c>
      <c r="W28" s="482"/>
      <c r="X28" s="482"/>
      <c r="Y28" s="482"/>
      <c r="Z28" s="482"/>
      <c r="AA28" s="483"/>
      <c r="AB28" s="490" t="s">
        <v>36</v>
      </c>
      <c r="AC28" s="491"/>
      <c r="AD28" s="491"/>
      <c r="AE28" s="491"/>
      <c r="AF28" s="492"/>
      <c r="AG28" s="428" t="s">
        <v>29</v>
      </c>
      <c r="AH28" s="429"/>
      <c r="AI28" s="429"/>
      <c r="AJ28" s="429"/>
      <c r="AK28" s="429"/>
      <c r="AL28" s="429"/>
      <c r="AM28" s="429"/>
      <c r="AN28" s="429"/>
      <c r="AO28" s="430"/>
    </row>
    <row r="29" spans="1:41" x14ac:dyDescent="0.2">
      <c r="B29" s="484"/>
      <c r="C29" s="485"/>
      <c r="D29" s="485"/>
      <c r="E29" s="486"/>
      <c r="F29" s="493"/>
      <c r="G29" s="494"/>
      <c r="H29" s="494"/>
      <c r="I29" s="494"/>
      <c r="J29" s="494"/>
      <c r="K29" s="495"/>
      <c r="L29" s="431">
        <v>1</v>
      </c>
      <c r="M29" s="432"/>
      <c r="N29" s="431">
        <v>2</v>
      </c>
      <c r="O29" s="432"/>
      <c r="P29" s="431">
        <v>3</v>
      </c>
      <c r="Q29" s="432"/>
      <c r="R29" s="477" t="s">
        <v>34</v>
      </c>
      <c r="S29" s="478"/>
      <c r="T29" s="32"/>
      <c r="U29" s="8"/>
      <c r="V29" s="484"/>
      <c r="W29" s="485"/>
      <c r="X29" s="485"/>
      <c r="Y29" s="485"/>
      <c r="Z29" s="485"/>
      <c r="AA29" s="486"/>
      <c r="AB29" s="493"/>
      <c r="AC29" s="494"/>
      <c r="AD29" s="494"/>
      <c r="AE29" s="494"/>
      <c r="AF29" s="495"/>
      <c r="AG29" s="431">
        <v>1</v>
      </c>
      <c r="AH29" s="432"/>
      <c r="AI29" s="431">
        <v>2</v>
      </c>
      <c r="AJ29" s="432"/>
      <c r="AK29" s="431">
        <v>3</v>
      </c>
      <c r="AL29" s="432"/>
      <c r="AM29" s="435" t="s">
        <v>34</v>
      </c>
      <c r="AN29" s="436"/>
      <c r="AO29" s="437"/>
    </row>
    <row r="30" spans="1:41" ht="13.5" thickBot="1" x14ac:dyDescent="0.25">
      <c r="B30" s="487"/>
      <c r="C30" s="488"/>
      <c r="D30" s="488"/>
      <c r="E30" s="489"/>
      <c r="F30" s="496"/>
      <c r="G30" s="497"/>
      <c r="H30" s="497"/>
      <c r="I30" s="497"/>
      <c r="J30" s="497"/>
      <c r="K30" s="498"/>
      <c r="L30" s="433"/>
      <c r="M30" s="434"/>
      <c r="N30" s="433"/>
      <c r="O30" s="434"/>
      <c r="P30" s="433"/>
      <c r="Q30" s="434"/>
      <c r="R30" s="479"/>
      <c r="S30" s="480"/>
      <c r="T30" s="32"/>
      <c r="U30" s="8"/>
      <c r="V30" s="487"/>
      <c r="W30" s="488"/>
      <c r="X30" s="488"/>
      <c r="Y30" s="488"/>
      <c r="Z30" s="488"/>
      <c r="AA30" s="489"/>
      <c r="AB30" s="496"/>
      <c r="AC30" s="497"/>
      <c r="AD30" s="497"/>
      <c r="AE30" s="497"/>
      <c r="AF30" s="498"/>
      <c r="AG30" s="433"/>
      <c r="AH30" s="434"/>
      <c r="AI30" s="433"/>
      <c r="AJ30" s="434"/>
      <c r="AK30" s="433"/>
      <c r="AL30" s="434"/>
      <c r="AM30" s="438"/>
      <c r="AN30" s="439"/>
      <c r="AO30" s="440"/>
    </row>
    <row r="31" spans="1:41" ht="24.95" customHeight="1" x14ac:dyDescent="0.2">
      <c r="B31" s="499">
        <f>'Non Aspal'!B11</f>
        <v>0</v>
      </c>
      <c r="C31" s="500"/>
      <c r="D31" s="500"/>
      <c r="E31" s="501"/>
      <c r="F31" s="502"/>
      <c r="G31" s="503"/>
      <c r="H31" s="503"/>
      <c r="I31" s="503"/>
      <c r="J31" s="503"/>
      <c r="K31" s="504"/>
      <c r="L31" s="505">
        <v>3</v>
      </c>
      <c r="M31" s="506"/>
      <c r="N31" s="505">
        <v>2</v>
      </c>
      <c r="O31" s="506"/>
      <c r="P31" s="505">
        <v>2</v>
      </c>
      <c r="Q31" s="506"/>
      <c r="R31" s="441">
        <f>AVERAGE(L31:Q31)</f>
        <v>2.3333333333333335</v>
      </c>
      <c r="S31" s="442"/>
      <c r="T31" s="35"/>
      <c r="U31" s="36"/>
      <c r="V31" s="474">
        <f>B51+200</f>
        <v>4200</v>
      </c>
      <c r="W31" s="475"/>
      <c r="X31" s="475"/>
      <c r="Y31" s="475"/>
      <c r="Z31" s="475"/>
      <c r="AA31" s="476"/>
      <c r="AB31" s="505"/>
      <c r="AC31" s="513"/>
      <c r="AD31" s="513"/>
      <c r="AE31" s="513"/>
      <c r="AF31" s="506"/>
      <c r="AG31" s="505">
        <v>3</v>
      </c>
      <c r="AH31" s="506"/>
      <c r="AI31" s="505">
        <v>2</v>
      </c>
      <c r="AJ31" s="506"/>
      <c r="AK31" s="505">
        <v>3</v>
      </c>
      <c r="AL31" s="506"/>
      <c r="AM31" s="443">
        <f>AVERAGE(AG31:AL31)</f>
        <v>2.6666666666666665</v>
      </c>
      <c r="AN31" s="444"/>
      <c r="AO31" s="445"/>
    </row>
    <row r="32" spans="1:41" ht="24.95" customHeight="1" x14ac:dyDescent="0.2">
      <c r="B32" s="507">
        <f>B31+200</f>
        <v>200</v>
      </c>
      <c r="C32" s="508"/>
      <c r="D32" s="508"/>
      <c r="E32" s="509"/>
      <c r="F32" s="470"/>
      <c r="G32" s="510"/>
      <c r="H32" s="510"/>
      <c r="I32" s="510"/>
      <c r="J32" s="510"/>
      <c r="K32" s="471"/>
      <c r="L32" s="470">
        <v>3</v>
      </c>
      <c r="M32" s="471"/>
      <c r="N32" s="470">
        <v>2</v>
      </c>
      <c r="O32" s="471"/>
      <c r="P32" s="470">
        <v>2</v>
      </c>
      <c r="Q32" s="471"/>
      <c r="R32" s="472">
        <f>AVERAGE(L32:Q32)</f>
        <v>2.3333333333333335</v>
      </c>
      <c r="S32" s="473"/>
      <c r="T32" s="35"/>
      <c r="U32" s="36"/>
      <c r="V32" s="507">
        <f>V31+200</f>
        <v>4400</v>
      </c>
      <c r="W32" s="508"/>
      <c r="X32" s="508"/>
      <c r="Y32" s="508"/>
      <c r="Z32" s="508"/>
      <c r="AA32" s="509"/>
      <c r="AB32" s="470"/>
      <c r="AC32" s="510"/>
      <c r="AD32" s="510"/>
      <c r="AE32" s="510"/>
      <c r="AF32" s="471"/>
      <c r="AG32" s="470">
        <v>3</v>
      </c>
      <c r="AH32" s="471"/>
      <c r="AI32" s="470">
        <v>2</v>
      </c>
      <c r="AJ32" s="471"/>
      <c r="AK32" s="470">
        <v>3</v>
      </c>
      <c r="AL32" s="471"/>
      <c r="AM32" s="472">
        <f>AVERAGE(AG32:AL32)</f>
        <v>2.6666666666666665</v>
      </c>
      <c r="AN32" s="522"/>
      <c r="AO32" s="473"/>
    </row>
    <row r="33" spans="2:41" ht="24.95" customHeight="1" x14ac:dyDescent="0.2">
      <c r="B33" s="507">
        <f t="shared" ref="B33:B51" si="0">B32+200</f>
        <v>400</v>
      </c>
      <c r="C33" s="508"/>
      <c r="D33" s="508"/>
      <c r="E33" s="509"/>
      <c r="F33" s="470"/>
      <c r="G33" s="510"/>
      <c r="H33" s="510"/>
      <c r="I33" s="510"/>
      <c r="J33" s="510"/>
      <c r="K33" s="471"/>
      <c r="L33" s="511">
        <v>3</v>
      </c>
      <c r="M33" s="512"/>
      <c r="N33" s="511">
        <v>2</v>
      </c>
      <c r="O33" s="512"/>
      <c r="P33" s="511">
        <v>2</v>
      </c>
      <c r="Q33" s="512"/>
      <c r="R33" s="472">
        <f t="shared" ref="R33:R50" si="1">AVERAGE(L33:Q33)</f>
        <v>2.3333333333333335</v>
      </c>
      <c r="S33" s="473"/>
      <c r="T33" s="35"/>
      <c r="U33" s="36"/>
      <c r="V33" s="507">
        <f t="shared" ref="V33:V47" si="2">V32+200</f>
        <v>4600</v>
      </c>
      <c r="W33" s="508"/>
      <c r="X33" s="508"/>
      <c r="Y33" s="508"/>
      <c r="Z33" s="508"/>
      <c r="AA33" s="509"/>
      <c r="AB33" s="470"/>
      <c r="AC33" s="510"/>
      <c r="AD33" s="510"/>
      <c r="AE33" s="510"/>
      <c r="AF33" s="471"/>
      <c r="AG33" s="470">
        <v>3</v>
      </c>
      <c r="AH33" s="471"/>
      <c r="AI33" s="470">
        <v>2</v>
      </c>
      <c r="AJ33" s="471"/>
      <c r="AK33" s="470">
        <v>3</v>
      </c>
      <c r="AL33" s="471"/>
      <c r="AM33" s="472">
        <f t="shared" ref="AM33:AM49" si="3">AVERAGE(AG33:AL33)</f>
        <v>2.6666666666666665</v>
      </c>
      <c r="AN33" s="522"/>
      <c r="AO33" s="473"/>
    </row>
    <row r="34" spans="2:41" ht="24.95" customHeight="1" x14ac:dyDescent="0.2">
      <c r="B34" s="507">
        <f t="shared" si="0"/>
        <v>600</v>
      </c>
      <c r="C34" s="508"/>
      <c r="D34" s="508"/>
      <c r="E34" s="509"/>
      <c r="F34" s="470"/>
      <c r="G34" s="510"/>
      <c r="H34" s="510"/>
      <c r="I34" s="510"/>
      <c r="J34" s="510"/>
      <c r="K34" s="471"/>
      <c r="L34" s="470">
        <v>3</v>
      </c>
      <c r="M34" s="471"/>
      <c r="N34" s="470">
        <v>2</v>
      </c>
      <c r="O34" s="471"/>
      <c r="P34" s="470">
        <v>3</v>
      </c>
      <c r="Q34" s="471"/>
      <c r="R34" s="472">
        <f t="shared" si="1"/>
        <v>2.6666666666666665</v>
      </c>
      <c r="S34" s="473"/>
      <c r="T34" s="35"/>
      <c r="U34" s="36"/>
      <c r="V34" s="507">
        <f t="shared" si="2"/>
        <v>4800</v>
      </c>
      <c r="W34" s="508"/>
      <c r="X34" s="508"/>
      <c r="Y34" s="508"/>
      <c r="Z34" s="508"/>
      <c r="AA34" s="509"/>
      <c r="AB34" s="470"/>
      <c r="AC34" s="510"/>
      <c r="AD34" s="510"/>
      <c r="AE34" s="510"/>
      <c r="AF34" s="471"/>
      <c r="AG34" s="470">
        <v>3</v>
      </c>
      <c r="AH34" s="471"/>
      <c r="AI34" s="470">
        <v>2</v>
      </c>
      <c r="AJ34" s="471"/>
      <c r="AK34" s="470">
        <v>3</v>
      </c>
      <c r="AL34" s="471"/>
      <c r="AM34" s="472">
        <f t="shared" si="3"/>
        <v>2.6666666666666665</v>
      </c>
      <c r="AN34" s="522"/>
      <c r="AO34" s="473"/>
    </row>
    <row r="35" spans="2:41" ht="24.95" customHeight="1" x14ac:dyDescent="0.2">
      <c r="B35" s="507">
        <f t="shared" si="0"/>
        <v>800</v>
      </c>
      <c r="C35" s="508"/>
      <c r="D35" s="508"/>
      <c r="E35" s="509"/>
      <c r="F35" s="470"/>
      <c r="G35" s="510"/>
      <c r="H35" s="510"/>
      <c r="I35" s="510"/>
      <c r="J35" s="510"/>
      <c r="K35" s="471"/>
      <c r="L35" s="470">
        <v>3</v>
      </c>
      <c r="M35" s="471"/>
      <c r="N35" s="470">
        <v>2</v>
      </c>
      <c r="O35" s="471"/>
      <c r="P35" s="470">
        <v>3</v>
      </c>
      <c r="Q35" s="471"/>
      <c r="R35" s="472">
        <f t="shared" si="1"/>
        <v>2.6666666666666665</v>
      </c>
      <c r="S35" s="473"/>
      <c r="T35" s="35"/>
      <c r="U35" s="36"/>
      <c r="V35" s="507">
        <f t="shared" si="2"/>
        <v>5000</v>
      </c>
      <c r="W35" s="508"/>
      <c r="X35" s="508"/>
      <c r="Y35" s="508"/>
      <c r="Z35" s="508"/>
      <c r="AA35" s="509"/>
      <c r="AB35" s="470"/>
      <c r="AC35" s="510"/>
      <c r="AD35" s="510"/>
      <c r="AE35" s="510"/>
      <c r="AF35" s="471"/>
      <c r="AG35" s="470">
        <v>3</v>
      </c>
      <c r="AH35" s="471"/>
      <c r="AI35" s="470">
        <v>2</v>
      </c>
      <c r="AJ35" s="471"/>
      <c r="AK35" s="470">
        <v>3</v>
      </c>
      <c r="AL35" s="471"/>
      <c r="AM35" s="472">
        <f t="shared" si="3"/>
        <v>2.6666666666666665</v>
      </c>
      <c r="AN35" s="522"/>
      <c r="AO35" s="473"/>
    </row>
    <row r="36" spans="2:41" ht="24" customHeight="1" x14ac:dyDescent="0.2">
      <c r="B36" s="507">
        <f t="shared" si="0"/>
        <v>1000</v>
      </c>
      <c r="C36" s="508"/>
      <c r="D36" s="508"/>
      <c r="E36" s="509"/>
      <c r="F36" s="470"/>
      <c r="G36" s="510"/>
      <c r="H36" s="510"/>
      <c r="I36" s="510"/>
      <c r="J36" s="510"/>
      <c r="K36" s="471"/>
      <c r="L36" s="470">
        <v>3</v>
      </c>
      <c r="M36" s="471"/>
      <c r="N36" s="470">
        <v>2</v>
      </c>
      <c r="O36" s="471"/>
      <c r="P36" s="470">
        <v>3</v>
      </c>
      <c r="Q36" s="471"/>
      <c r="R36" s="472">
        <f t="shared" si="1"/>
        <v>2.6666666666666665</v>
      </c>
      <c r="S36" s="473"/>
      <c r="T36" s="35"/>
      <c r="U36" s="36"/>
      <c r="V36" s="507">
        <f t="shared" si="2"/>
        <v>5200</v>
      </c>
      <c r="W36" s="508"/>
      <c r="X36" s="508"/>
      <c r="Y36" s="508"/>
      <c r="Z36" s="508"/>
      <c r="AA36" s="509"/>
      <c r="AB36" s="470"/>
      <c r="AC36" s="510"/>
      <c r="AD36" s="510"/>
      <c r="AE36" s="510"/>
      <c r="AF36" s="471"/>
      <c r="AG36" s="470">
        <v>3</v>
      </c>
      <c r="AH36" s="471"/>
      <c r="AI36" s="470">
        <v>2</v>
      </c>
      <c r="AJ36" s="471"/>
      <c r="AK36" s="470">
        <v>3</v>
      </c>
      <c r="AL36" s="471"/>
      <c r="AM36" s="472">
        <f t="shared" si="3"/>
        <v>2.6666666666666665</v>
      </c>
      <c r="AN36" s="522"/>
      <c r="AO36" s="473"/>
    </row>
    <row r="37" spans="2:41" ht="24.95" customHeight="1" x14ac:dyDescent="0.2">
      <c r="B37" s="507">
        <f t="shared" si="0"/>
        <v>1200</v>
      </c>
      <c r="C37" s="508"/>
      <c r="D37" s="508"/>
      <c r="E37" s="509"/>
      <c r="F37" s="470"/>
      <c r="G37" s="510"/>
      <c r="H37" s="510"/>
      <c r="I37" s="510"/>
      <c r="J37" s="510"/>
      <c r="K37" s="471"/>
      <c r="L37" s="470">
        <v>3</v>
      </c>
      <c r="M37" s="471"/>
      <c r="N37" s="470">
        <v>2</v>
      </c>
      <c r="O37" s="471"/>
      <c r="P37" s="470">
        <v>3</v>
      </c>
      <c r="Q37" s="471"/>
      <c r="R37" s="472">
        <f t="shared" si="1"/>
        <v>2.6666666666666665</v>
      </c>
      <c r="S37" s="473"/>
      <c r="T37" s="35"/>
      <c r="U37" s="36"/>
      <c r="V37" s="507">
        <f t="shared" si="2"/>
        <v>5400</v>
      </c>
      <c r="W37" s="508"/>
      <c r="X37" s="508"/>
      <c r="Y37" s="508"/>
      <c r="Z37" s="508"/>
      <c r="AA37" s="509"/>
      <c r="AB37" s="470"/>
      <c r="AC37" s="510"/>
      <c r="AD37" s="510"/>
      <c r="AE37" s="510"/>
      <c r="AF37" s="471"/>
      <c r="AG37" s="470">
        <v>3</v>
      </c>
      <c r="AH37" s="471"/>
      <c r="AI37" s="470">
        <v>2</v>
      </c>
      <c r="AJ37" s="471"/>
      <c r="AK37" s="470">
        <v>3</v>
      </c>
      <c r="AL37" s="471"/>
      <c r="AM37" s="472">
        <f t="shared" si="3"/>
        <v>2.6666666666666665</v>
      </c>
      <c r="AN37" s="522"/>
      <c r="AO37" s="473"/>
    </row>
    <row r="38" spans="2:41" ht="24.95" customHeight="1" x14ac:dyDescent="0.2">
      <c r="B38" s="507">
        <f t="shared" si="0"/>
        <v>1400</v>
      </c>
      <c r="C38" s="508"/>
      <c r="D38" s="508"/>
      <c r="E38" s="509"/>
      <c r="F38" s="470"/>
      <c r="G38" s="510"/>
      <c r="H38" s="510"/>
      <c r="I38" s="510"/>
      <c r="J38" s="510"/>
      <c r="K38" s="471"/>
      <c r="L38" s="470">
        <v>3</v>
      </c>
      <c r="M38" s="471"/>
      <c r="N38" s="470">
        <v>2</v>
      </c>
      <c r="O38" s="471"/>
      <c r="P38" s="470">
        <v>3</v>
      </c>
      <c r="Q38" s="471"/>
      <c r="R38" s="472">
        <f t="shared" si="1"/>
        <v>2.6666666666666665</v>
      </c>
      <c r="S38" s="473"/>
      <c r="T38" s="35"/>
      <c r="U38" s="36"/>
      <c r="V38" s="507">
        <f t="shared" si="2"/>
        <v>5600</v>
      </c>
      <c r="W38" s="508"/>
      <c r="X38" s="508"/>
      <c r="Y38" s="508"/>
      <c r="Z38" s="508"/>
      <c r="AA38" s="509"/>
      <c r="AB38" s="470"/>
      <c r="AC38" s="510"/>
      <c r="AD38" s="510"/>
      <c r="AE38" s="510"/>
      <c r="AF38" s="471"/>
      <c r="AG38" s="470">
        <v>3</v>
      </c>
      <c r="AH38" s="471"/>
      <c r="AI38" s="470">
        <v>2</v>
      </c>
      <c r="AJ38" s="471"/>
      <c r="AK38" s="470">
        <v>3</v>
      </c>
      <c r="AL38" s="471"/>
      <c r="AM38" s="472">
        <f t="shared" si="3"/>
        <v>2.6666666666666665</v>
      </c>
      <c r="AN38" s="522"/>
      <c r="AO38" s="473"/>
    </row>
    <row r="39" spans="2:41" ht="24.95" customHeight="1" x14ac:dyDescent="0.2">
      <c r="B39" s="507">
        <f t="shared" si="0"/>
        <v>1600</v>
      </c>
      <c r="C39" s="508"/>
      <c r="D39" s="508"/>
      <c r="E39" s="509"/>
      <c r="F39" s="470"/>
      <c r="G39" s="510"/>
      <c r="H39" s="510"/>
      <c r="I39" s="510"/>
      <c r="J39" s="510"/>
      <c r="K39" s="471"/>
      <c r="L39" s="470">
        <v>3</v>
      </c>
      <c r="M39" s="471"/>
      <c r="N39" s="470">
        <v>2</v>
      </c>
      <c r="O39" s="471"/>
      <c r="P39" s="470">
        <v>3</v>
      </c>
      <c r="Q39" s="471"/>
      <c r="R39" s="472">
        <f t="shared" si="1"/>
        <v>2.6666666666666665</v>
      </c>
      <c r="S39" s="473"/>
      <c r="T39" s="35"/>
      <c r="U39" s="36"/>
      <c r="V39" s="507">
        <f t="shared" si="2"/>
        <v>5800</v>
      </c>
      <c r="W39" s="508"/>
      <c r="X39" s="508"/>
      <c r="Y39" s="508"/>
      <c r="Z39" s="508"/>
      <c r="AA39" s="509"/>
      <c r="AB39" s="470"/>
      <c r="AC39" s="510"/>
      <c r="AD39" s="510"/>
      <c r="AE39" s="510"/>
      <c r="AF39" s="471"/>
      <c r="AG39" s="470">
        <v>3</v>
      </c>
      <c r="AH39" s="471"/>
      <c r="AI39" s="470">
        <v>2</v>
      </c>
      <c r="AJ39" s="471"/>
      <c r="AK39" s="470">
        <v>3</v>
      </c>
      <c r="AL39" s="471"/>
      <c r="AM39" s="472">
        <f t="shared" si="3"/>
        <v>2.6666666666666665</v>
      </c>
      <c r="AN39" s="522"/>
      <c r="AO39" s="473"/>
    </row>
    <row r="40" spans="2:41" ht="24.95" customHeight="1" x14ac:dyDescent="0.2">
      <c r="B40" s="507">
        <f t="shared" si="0"/>
        <v>1800</v>
      </c>
      <c r="C40" s="508"/>
      <c r="D40" s="508"/>
      <c r="E40" s="509"/>
      <c r="F40" s="470"/>
      <c r="G40" s="510"/>
      <c r="H40" s="510"/>
      <c r="I40" s="510"/>
      <c r="J40" s="510"/>
      <c r="K40" s="471"/>
      <c r="L40" s="470">
        <v>3</v>
      </c>
      <c r="M40" s="471"/>
      <c r="N40" s="470">
        <v>2</v>
      </c>
      <c r="O40" s="471"/>
      <c r="P40" s="470">
        <v>3</v>
      </c>
      <c r="Q40" s="471"/>
      <c r="R40" s="472">
        <f t="shared" si="1"/>
        <v>2.6666666666666665</v>
      </c>
      <c r="S40" s="473"/>
      <c r="T40" s="35"/>
      <c r="U40" s="36"/>
      <c r="V40" s="507">
        <f t="shared" si="2"/>
        <v>6000</v>
      </c>
      <c r="W40" s="508"/>
      <c r="X40" s="508"/>
      <c r="Y40" s="508"/>
      <c r="Z40" s="508"/>
      <c r="AA40" s="509"/>
      <c r="AB40" s="470"/>
      <c r="AC40" s="510"/>
      <c r="AD40" s="510"/>
      <c r="AE40" s="510"/>
      <c r="AF40" s="471"/>
      <c r="AG40" s="470">
        <v>3</v>
      </c>
      <c r="AH40" s="471"/>
      <c r="AI40" s="470">
        <v>2</v>
      </c>
      <c r="AJ40" s="471"/>
      <c r="AK40" s="470">
        <v>3</v>
      </c>
      <c r="AL40" s="471"/>
      <c r="AM40" s="472">
        <f t="shared" si="3"/>
        <v>2.6666666666666665</v>
      </c>
      <c r="AN40" s="522"/>
      <c r="AO40" s="473"/>
    </row>
    <row r="41" spans="2:41" ht="24.95" customHeight="1" x14ac:dyDescent="0.2">
      <c r="B41" s="507">
        <f t="shared" si="0"/>
        <v>2000</v>
      </c>
      <c r="C41" s="508"/>
      <c r="D41" s="508"/>
      <c r="E41" s="509"/>
      <c r="F41" s="470"/>
      <c r="G41" s="510"/>
      <c r="H41" s="510"/>
      <c r="I41" s="510"/>
      <c r="J41" s="510"/>
      <c r="K41" s="471"/>
      <c r="L41" s="470">
        <v>3</v>
      </c>
      <c r="M41" s="471"/>
      <c r="N41" s="470">
        <v>2</v>
      </c>
      <c r="O41" s="471"/>
      <c r="P41" s="470">
        <v>3</v>
      </c>
      <c r="Q41" s="471"/>
      <c r="R41" s="472">
        <f t="shared" si="1"/>
        <v>2.6666666666666665</v>
      </c>
      <c r="S41" s="473"/>
      <c r="T41" s="35"/>
      <c r="U41" s="36"/>
      <c r="V41" s="507">
        <f t="shared" si="2"/>
        <v>6200</v>
      </c>
      <c r="W41" s="508"/>
      <c r="X41" s="508"/>
      <c r="Y41" s="508"/>
      <c r="Z41" s="508"/>
      <c r="AA41" s="509"/>
      <c r="AB41" s="470"/>
      <c r="AC41" s="510"/>
      <c r="AD41" s="510"/>
      <c r="AE41" s="510"/>
      <c r="AF41" s="471"/>
      <c r="AG41" s="470">
        <v>3</v>
      </c>
      <c r="AH41" s="471"/>
      <c r="AI41" s="470">
        <v>2</v>
      </c>
      <c r="AJ41" s="471"/>
      <c r="AK41" s="470">
        <v>3</v>
      </c>
      <c r="AL41" s="471"/>
      <c r="AM41" s="472">
        <f t="shared" si="3"/>
        <v>2.6666666666666665</v>
      </c>
      <c r="AN41" s="522"/>
      <c r="AO41" s="473"/>
    </row>
    <row r="42" spans="2:41" ht="24.95" customHeight="1" x14ac:dyDescent="0.2">
      <c r="B42" s="507">
        <f t="shared" si="0"/>
        <v>2200</v>
      </c>
      <c r="C42" s="508"/>
      <c r="D42" s="508"/>
      <c r="E42" s="509"/>
      <c r="F42" s="470"/>
      <c r="G42" s="510"/>
      <c r="H42" s="510"/>
      <c r="I42" s="510"/>
      <c r="J42" s="510"/>
      <c r="K42" s="471"/>
      <c r="L42" s="470">
        <v>2</v>
      </c>
      <c r="M42" s="471"/>
      <c r="N42" s="470">
        <v>2</v>
      </c>
      <c r="O42" s="471"/>
      <c r="P42" s="470">
        <v>3</v>
      </c>
      <c r="Q42" s="471"/>
      <c r="R42" s="472">
        <f t="shared" si="1"/>
        <v>2.3333333333333335</v>
      </c>
      <c r="S42" s="473"/>
      <c r="T42" s="35"/>
      <c r="U42" s="36"/>
      <c r="V42" s="507">
        <f t="shared" si="2"/>
        <v>6400</v>
      </c>
      <c r="W42" s="508"/>
      <c r="X42" s="508"/>
      <c r="Y42" s="508"/>
      <c r="Z42" s="508"/>
      <c r="AA42" s="509"/>
      <c r="AB42" s="470"/>
      <c r="AC42" s="510"/>
      <c r="AD42" s="510"/>
      <c r="AE42" s="510"/>
      <c r="AF42" s="471"/>
      <c r="AG42" s="470">
        <v>3</v>
      </c>
      <c r="AH42" s="471"/>
      <c r="AI42" s="470">
        <v>2</v>
      </c>
      <c r="AJ42" s="471"/>
      <c r="AK42" s="470">
        <v>3</v>
      </c>
      <c r="AL42" s="471"/>
      <c r="AM42" s="472">
        <f t="shared" si="3"/>
        <v>2.6666666666666665</v>
      </c>
      <c r="AN42" s="522"/>
      <c r="AO42" s="473"/>
    </row>
    <row r="43" spans="2:41" ht="24.95" customHeight="1" x14ac:dyDescent="0.2">
      <c r="B43" s="507">
        <f t="shared" si="0"/>
        <v>2400</v>
      </c>
      <c r="C43" s="508"/>
      <c r="D43" s="508"/>
      <c r="E43" s="509"/>
      <c r="F43" s="470"/>
      <c r="G43" s="510"/>
      <c r="H43" s="510"/>
      <c r="I43" s="510"/>
      <c r="J43" s="510"/>
      <c r="K43" s="471"/>
      <c r="L43" s="470">
        <v>3</v>
      </c>
      <c r="M43" s="471"/>
      <c r="N43" s="470">
        <v>2</v>
      </c>
      <c r="O43" s="471"/>
      <c r="P43" s="470">
        <v>2</v>
      </c>
      <c r="Q43" s="471"/>
      <c r="R43" s="472">
        <f t="shared" si="1"/>
        <v>2.3333333333333335</v>
      </c>
      <c r="S43" s="473"/>
      <c r="T43" s="35"/>
      <c r="U43" s="36"/>
      <c r="V43" s="507">
        <f t="shared" si="2"/>
        <v>6600</v>
      </c>
      <c r="W43" s="508"/>
      <c r="X43" s="508"/>
      <c r="Y43" s="508"/>
      <c r="Z43" s="508"/>
      <c r="AA43" s="509"/>
      <c r="AB43" s="470"/>
      <c r="AC43" s="510"/>
      <c r="AD43" s="510"/>
      <c r="AE43" s="510"/>
      <c r="AF43" s="471"/>
      <c r="AG43" s="470">
        <v>3</v>
      </c>
      <c r="AH43" s="471"/>
      <c r="AI43" s="470">
        <v>2</v>
      </c>
      <c r="AJ43" s="471"/>
      <c r="AK43" s="470">
        <v>3</v>
      </c>
      <c r="AL43" s="471"/>
      <c r="AM43" s="472">
        <f t="shared" si="3"/>
        <v>2.6666666666666665</v>
      </c>
      <c r="AN43" s="522"/>
      <c r="AO43" s="473"/>
    </row>
    <row r="44" spans="2:41" ht="24.95" customHeight="1" x14ac:dyDescent="0.2">
      <c r="B44" s="507">
        <f t="shared" si="0"/>
        <v>2600</v>
      </c>
      <c r="C44" s="508"/>
      <c r="D44" s="508"/>
      <c r="E44" s="509"/>
      <c r="F44" s="470"/>
      <c r="G44" s="510"/>
      <c r="H44" s="510"/>
      <c r="I44" s="510"/>
      <c r="J44" s="510"/>
      <c r="K44" s="471"/>
      <c r="L44" s="470">
        <v>3</v>
      </c>
      <c r="M44" s="471"/>
      <c r="N44" s="470">
        <v>2</v>
      </c>
      <c r="O44" s="471"/>
      <c r="P44" s="470">
        <v>3</v>
      </c>
      <c r="Q44" s="471"/>
      <c r="R44" s="472">
        <f t="shared" si="1"/>
        <v>2.6666666666666665</v>
      </c>
      <c r="S44" s="473"/>
      <c r="T44" s="35"/>
      <c r="U44" s="36"/>
      <c r="V44" s="507">
        <f t="shared" si="2"/>
        <v>6800</v>
      </c>
      <c r="W44" s="508"/>
      <c r="X44" s="508"/>
      <c r="Y44" s="508"/>
      <c r="Z44" s="508"/>
      <c r="AA44" s="509"/>
      <c r="AB44" s="470"/>
      <c r="AC44" s="510"/>
      <c r="AD44" s="510"/>
      <c r="AE44" s="510"/>
      <c r="AF44" s="471"/>
      <c r="AG44" s="470">
        <v>3</v>
      </c>
      <c r="AH44" s="471"/>
      <c r="AI44" s="470">
        <v>2</v>
      </c>
      <c r="AJ44" s="471"/>
      <c r="AK44" s="470">
        <v>3</v>
      </c>
      <c r="AL44" s="471"/>
      <c r="AM44" s="472">
        <f t="shared" si="3"/>
        <v>2.6666666666666665</v>
      </c>
      <c r="AN44" s="522"/>
      <c r="AO44" s="473"/>
    </row>
    <row r="45" spans="2:41" ht="24.95" customHeight="1" x14ac:dyDescent="0.2">
      <c r="B45" s="507">
        <f t="shared" si="0"/>
        <v>2800</v>
      </c>
      <c r="C45" s="508"/>
      <c r="D45" s="508"/>
      <c r="E45" s="509"/>
      <c r="F45" s="470"/>
      <c r="G45" s="510"/>
      <c r="H45" s="510"/>
      <c r="I45" s="510"/>
      <c r="J45" s="510"/>
      <c r="K45" s="471"/>
      <c r="L45" s="470">
        <v>2</v>
      </c>
      <c r="M45" s="471"/>
      <c r="N45" s="470">
        <v>2</v>
      </c>
      <c r="O45" s="471"/>
      <c r="P45" s="470">
        <v>3</v>
      </c>
      <c r="Q45" s="471"/>
      <c r="R45" s="472">
        <f>AVERAGE(L45:Q45)</f>
        <v>2.3333333333333335</v>
      </c>
      <c r="S45" s="473"/>
      <c r="T45" s="35"/>
      <c r="U45" s="36"/>
      <c r="V45" s="507">
        <f t="shared" si="2"/>
        <v>7000</v>
      </c>
      <c r="W45" s="508"/>
      <c r="X45" s="508"/>
      <c r="Y45" s="508"/>
      <c r="Z45" s="508"/>
      <c r="AA45" s="509"/>
      <c r="AB45" s="470"/>
      <c r="AC45" s="510"/>
      <c r="AD45" s="510"/>
      <c r="AE45" s="510"/>
      <c r="AF45" s="471"/>
      <c r="AG45" s="470">
        <v>3</v>
      </c>
      <c r="AH45" s="471"/>
      <c r="AI45" s="470">
        <v>2</v>
      </c>
      <c r="AJ45" s="471"/>
      <c r="AK45" s="470">
        <v>3</v>
      </c>
      <c r="AL45" s="471"/>
      <c r="AM45" s="472">
        <f t="shared" si="3"/>
        <v>2.6666666666666665</v>
      </c>
      <c r="AN45" s="522"/>
      <c r="AO45" s="473"/>
    </row>
    <row r="46" spans="2:41" ht="24.95" customHeight="1" x14ac:dyDescent="0.2">
      <c r="B46" s="507">
        <f t="shared" si="0"/>
        <v>3000</v>
      </c>
      <c r="C46" s="508"/>
      <c r="D46" s="508"/>
      <c r="E46" s="509"/>
      <c r="F46" s="470"/>
      <c r="G46" s="510"/>
      <c r="H46" s="510"/>
      <c r="I46" s="510"/>
      <c r="J46" s="510"/>
      <c r="K46" s="471"/>
      <c r="L46" s="470">
        <v>3</v>
      </c>
      <c r="M46" s="471"/>
      <c r="N46" s="470">
        <v>2</v>
      </c>
      <c r="O46" s="471"/>
      <c r="P46" s="470">
        <v>3</v>
      </c>
      <c r="Q46" s="471"/>
      <c r="R46" s="472">
        <f t="shared" si="1"/>
        <v>2.6666666666666665</v>
      </c>
      <c r="S46" s="473"/>
      <c r="T46" s="35"/>
      <c r="U46" s="36"/>
      <c r="V46" s="507">
        <f t="shared" si="2"/>
        <v>7200</v>
      </c>
      <c r="W46" s="508"/>
      <c r="X46" s="508"/>
      <c r="Y46" s="508"/>
      <c r="Z46" s="508"/>
      <c r="AA46" s="509"/>
      <c r="AB46" s="470"/>
      <c r="AC46" s="510"/>
      <c r="AD46" s="510"/>
      <c r="AE46" s="510"/>
      <c r="AF46" s="471"/>
      <c r="AG46" s="470">
        <v>3</v>
      </c>
      <c r="AH46" s="471"/>
      <c r="AI46" s="470">
        <v>2</v>
      </c>
      <c r="AJ46" s="471"/>
      <c r="AK46" s="470">
        <v>3</v>
      </c>
      <c r="AL46" s="471"/>
      <c r="AM46" s="472">
        <f t="shared" si="3"/>
        <v>2.6666666666666665</v>
      </c>
      <c r="AN46" s="522"/>
      <c r="AO46" s="473"/>
    </row>
    <row r="47" spans="2:41" ht="24.95" customHeight="1" x14ac:dyDescent="0.2">
      <c r="B47" s="507">
        <f t="shared" si="0"/>
        <v>3200</v>
      </c>
      <c r="C47" s="508"/>
      <c r="D47" s="508"/>
      <c r="E47" s="509"/>
      <c r="F47" s="470"/>
      <c r="G47" s="510"/>
      <c r="H47" s="510"/>
      <c r="I47" s="510"/>
      <c r="J47" s="510"/>
      <c r="K47" s="471"/>
      <c r="L47" s="470">
        <v>3</v>
      </c>
      <c r="M47" s="471"/>
      <c r="N47" s="470">
        <v>2</v>
      </c>
      <c r="O47" s="471"/>
      <c r="P47" s="470">
        <v>3</v>
      </c>
      <c r="Q47" s="471"/>
      <c r="R47" s="472">
        <f t="shared" si="1"/>
        <v>2.6666666666666665</v>
      </c>
      <c r="S47" s="473"/>
      <c r="T47" s="35"/>
      <c r="U47" s="36"/>
      <c r="V47" s="507">
        <f t="shared" si="2"/>
        <v>7400</v>
      </c>
      <c r="W47" s="508"/>
      <c r="X47" s="508"/>
      <c r="Y47" s="508"/>
      <c r="Z47" s="508"/>
      <c r="AA47" s="509"/>
      <c r="AB47" s="470"/>
      <c r="AC47" s="510"/>
      <c r="AD47" s="510"/>
      <c r="AE47" s="510"/>
      <c r="AF47" s="471"/>
      <c r="AG47" s="470">
        <v>3</v>
      </c>
      <c r="AH47" s="471"/>
      <c r="AI47" s="470">
        <v>2</v>
      </c>
      <c r="AJ47" s="471"/>
      <c r="AK47" s="470">
        <v>3</v>
      </c>
      <c r="AL47" s="471"/>
      <c r="AM47" s="472">
        <f t="shared" si="3"/>
        <v>2.6666666666666665</v>
      </c>
      <c r="AN47" s="522"/>
      <c r="AO47" s="473"/>
    </row>
    <row r="48" spans="2:41" ht="24.95" customHeight="1" x14ac:dyDescent="0.2">
      <c r="B48" s="507">
        <f t="shared" si="0"/>
        <v>3400</v>
      </c>
      <c r="C48" s="508"/>
      <c r="D48" s="508"/>
      <c r="E48" s="509"/>
      <c r="F48" s="470"/>
      <c r="G48" s="510"/>
      <c r="H48" s="510"/>
      <c r="I48" s="510"/>
      <c r="J48" s="510"/>
      <c r="K48" s="471"/>
      <c r="L48" s="470">
        <v>2</v>
      </c>
      <c r="M48" s="471"/>
      <c r="N48" s="470">
        <v>2</v>
      </c>
      <c r="O48" s="471"/>
      <c r="P48" s="470">
        <v>3</v>
      </c>
      <c r="Q48" s="471"/>
      <c r="R48" s="472">
        <f t="shared" si="1"/>
        <v>2.3333333333333335</v>
      </c>
      <c r="S48" s="473"/>
      <c r="T48" s="35"/>
      <c r="U48" s="36"/>
      <c r="V48" s="507">
        <f>V47+168</f>
        <v>7568</v>
      </c>
      <c r="W48" s="508"/>
      <c r="X48" s="508"/>
      <c r="Y48" s="508"/>
      <c r="Z48" s="508"/>
      <c r="AA48" s="509"/>
      <c r="AB48" s="470"/>
      <c r="AC48" s="510"/>
      <c r="AD48" s="510"/>
      <c r="AE48" s="510"/>
      <c r="AF48" s="471"/>
      <c r="AG48" s="470">
        <v>3</v>
      </c>
      <c r="AH48" s="471"/>
      <c r="AI48" s="470">
        <v>2</v>
      </c>
      <c r="AJ48" s="471"/>
      <c r="AK48" s="470">
        <v>3</v>
      </c>
      <c r="AL48" s="471"/>
      <c r="AM48" s="472">
        <f t="shared" si="3"/>
        <v>2.6666666666666665</v>
      </c>
      <c r="AN48" s="522"/>
      <c r="AO48" s="473"/>
    </row>
    <row r="49" spans="2:41" ht="24.95" customHeight="1" x14ac:dyDescent="0.2">
      <c r="B49" s="507">
        <f t="shared" si="0"/>
        <v>3600</v>
      </c>
      <c r="C49" s="508"/>
      <c r="D49" s="508"/>
      <c r="E49" s="509"/>
      <c r="F49" s="470"/>
      <c r="G49" s="510"/>
      <c r="H49" s="510"/>
      <c r="I49" s="510"/>
      <c r="J49" s="510"/>
      <c r="K49" s="471"/>
      <c r="L49" s="470">
        <v>3</v>
      </c>
      <c r="M49" s="471"/>
      <c r="N49" s="470">
        <v>2</v>
      </c>
      <c r="O49" s="471"/>
      <c r="P49" s="470">
        <v>2</v>
      </c>
      <c r="Q49" s="471"/>
      <c r="R49" s="472">
        <f t="shared" si="1"/>
        <v>2.3333333333333335</v>
      </c>
      <c r="S49" s="473"/>
      <c r="T49" s="35"/>
      <c r="U49" s="36"/>
      <c r="V49" s="507">
        <f>V48+168</f>
        <v>7736</v>
      </c>
      <c r="W49" s="508"/>
      <c r="X49" s="508"/>
      <c r="Y49" s="508"/>
      <c r="Z49" s="508"/>
      <c r="AA49" s="509"/>
      <c r="AB49" s="470"/>
      <c r="AC49" s="510"/>
      <c r="AD49" s="510"/>
      <c r="AE49" s="510"/>
      <c r="AF49" s="471"/>
      <c r="AG49" s="470">
        <v>3</v>
      </c>
      <c r="AH49" s="471"/>
      <c r="AI49" s="470">
        <v>2</v>
      </c>
      <c r="AJ49" s="471"/>
      <c r="AK49" s="470">
        <v>3</v>
      </c>
      <c r="AL49" s="471"/>
      <c r="AM49" s="472">
        <f t="shared" si="3"/>
        <v>2.6666666666666665</v>
      </c>
      <c r="AN49" s="522"/>
      <c r="AO49" s="473"/>
    </row>
    <row r="50" spans="2:41" ht="24.95" customHeight="1" x14ac:dyDescent="0.2">
      <c r="B50" s="507">
        <f t="shared" si="0"/>
        <v>3800</v>
      </c>
      <c r="C50" s="508"/>
      <c r="D50" s="508"/>
      <c r="E50" s="509"/>
      <c r="F50" s="470"/>
      <c r="G50" s="510"/>
      <c r="H50" s="510"/>
      <c r="I50" s="510"/>
      <c r="J50" s="510"/>
      <c r="K50" s="471"/>
      <c r="L50" s="470">
        <v>3</v>
      </c>
      <c r="M50" s="471"/>
      <c r="N50" s="470">
        <v>2</v>
      </c>
      <c r="O50" s="471"/>
      <c r="P50" s="470">
        <v>3</v>
      </c>
      <c r="Q50" s="471"/>
      <c r="R50" s="472">
        <f t="shared" si="1"/>
        <v>2.6666666666666665</v>
      </c>
      <c r="S50" s="473"/>
      <c r="T50" s="35"/>
      <c r="U50" s="36"/>
      <c r="V50" s="507">
        <f>V49+168</f>
        <v>7904</v>
      </c>
      <c r="W50" s="508"/>
      <c r="X50" s="508"/>
      <c r="Y50" s="508"/>
      <c r="Z50" s="508"/>
      <c r="AA50" s="509"/>
      <c r="AB50" s="470"/>
      <c r="AC50" s="510"/>
      <c r="AD50" s="510"/>
      <c r="AE50" s="510"/>
      <c r="AF50" s="471"/>
      <c r="AG50" s="470">
        <v>3</v>
      </c>
      <c r="AH50" s="471"/>
      <c r="AI50" s="470">
        <v>2</v>
      </c>
      <c r="AJ50" s="471"/>
      <c r="AK50" s="470">
        <v>3</v>
      </c>
      <c r="AL50" s="471"/>
      <c r="AM50" s="472">
        <f t="shared" ref="AM50:AM51" si="4">AVERAGE(AG50:AL50)</f>
        <v>2.6666666666666665</v>
      </c>
      <c r="AN50" s="522"/>
      <c r="AO50" s="473"/>
    </row>
    <row r="51" spans="2:41" ht="24.95" customHeight="1" thickBot="1" x14ac:dyDescent="0.25">
      <c r="B51" s="507">
        <f t="shared" si="0"/>
        <v>4000</v>
      </c>
      <c r="C51" s="508"/>
      <c r="D51" s="508"/>
      <c r="E51" s="509"/>
      <c r="F51" s="517"/>
      <c r="G51" s="518"/>
      <c r="H51" s="518"/>
      <c r="I51" s="518"/>
      <c r="J51" s="518"/>
      <c r="K51" s="519"/>
      <c r="L51" s="470">
        <v>3</v>
      </c>
      <c r="M51" s="471"/>
      <c r="N51" s="470">
        <v>2</v>
      </c>
      <c r="O51" s="471"/>
      <c r="P51" s="470">
        <v>2</v>
      </c>
      <c r="Q51" s="471"/>
      <c r="R51" s="520">
        <f>AVERAGE(L51:Q51)</f>
        <v>2.3333333333333335</v>
      </c>
      <c r="S51" s="521"/>
      <c r="T51" s="35"/>
      <c r="U51" s="36"/>
      <c r="V51" s="507">
        <f>V50+168</f>
        <v>8072</v>
      </c>
      <c r="W51" s="508"/>
      <c r="X51" s="508"/>
      <c r="Y51" s="508"/>
      <c r="Z51" s="508"/>
      <c r="AA51" s="509"/>
      <c r="AB51" s="470"/>
      <c r="AC51" s="510"/>
      <c r="AD51" s="510"/>
      <c r="AE51" s="510"/>
      <c r="AF51" s="471"/>
      <c r="AG51" s="470">
        <v>3</v>
      </c>
      <c r="AH51" s="471"/>
      <c r="AI51" s="470">
        <v>2</v>
      </c>
      <c r="AJ51" s="471"/>
      <c r="AK51" s="470">
        <v>3</v>
      </c>
      <c r="AL51" s="471"/>
      <c r="AM51" s="472">
        <f t="shared" si="4"/>
        <v>2.6666666666666665</v>
      </c>
      <c r="AN51" s="522"/>
      <c r="AO51" s="473"/>
    </row>
    <row r="52" spans="2:4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3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</row>
    <row r="53" spans="2:41" x14ac:dyDescent="0.2">
      <c r="B53" s="3" t="s">
        <v>30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</row>
    <row r="54" spans="2:41" x14ac:dyDescent="0.2"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</row>
    <row r="55" spans="2:41" x14ac:dyDescent="0.2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</row>
    <row r="56" spans="2:41" x14ac:dyDescent="0.2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</row>
  </sheetData>
  <mergeCells count="285">
    <mergeCell ref="B6:AO6"/>
    <mergeCell ref="B8:O9"/>
    <mergeCell ref="P8:AE9"/>
    <mergeCell ref="AF8:AO9"/>
    <mergeCell ref="E11:O11"/>
    <mergeCell ref="S11:AE11"/>
    <mergeCell ref="B15:O15"/>
    <mergeCell ref="P15:AE15"/>
    <mergeCell ref="AF15:AO15"/>
    <mergeCell ref="P16:P17"/>
    <mergeCell ref="Q16:AE17"/>
    <mergeCell ref="E17:G17"/>
    <mergeCell ref="I17:K17"/>
    <mergeCell ref="M17:O17"/>
    <mergeCell ref="AI17:AO17"/>
    <mergeCell ref="Q18:AE18"/>
    <mergeCell ref="Q19:AE19"/>
    <mergeCell ref="E20:N20"/>
    <mergeCell ref="Q20:AE20"/>
    <mergeCell ref="B28:E30"/>
    <mergeCell ref="F28:K30"/>
    <mergeCell ref="L28:S28"/>
    <mergeCell ref="V28:AA30"/>
    <mergeCell ref="AB28:AF30"/>
    <mergeCell ref="AG28:AO28"/>
    <mergeCell ref="L29:M30"/>
    <mergeCell ref="N29:O30"/>
    <mergeCell ref="P29:Q30"/>
    <mergeCell ref="R29:S30"/>
    <mergeCell ref="AG29:AH30"/>
    <mergeCell ref="AI29:AJ30"/>
    <mergeCell ref="AK29:AL30"/>
    <mergeCell ref="AM29:AO30"/>
    <mergeCell ref="V31:AA31"/>
    <mergeCell ref="AB31:AF31"/>
    <mergeCell ref="AG31:AH31"/>
    <mergeCell ref="AI31:AJ31"/>
    <mergeCell ref="AK31:AL31"/>
    <mergeCell ref="AM31:AO31"/>
    <mergeCell ref="B31:E31"/>
    <mergeCell ref="F31:K31"/>
    <mergeCell ref="L31:M31"/>
    <mergeCell ref="N31:O31"/>
    <mergeCell ref="P31:Q31"/>
    <mergeCell ref="R31:S31"/>
    <mergeCell ref="V32:AA32"/>
    <mergeCell ref="AB32:AF32"/>
    <mergeCell ref="AG32:AH32"/>
    <mergeCell ref="AI32:AJ32"/>
    <mergeCell ref="AK32:AL32"/>
    <mergeCell ref="AM32:AO32"/>
    <mergeCell ref="B32:E32"/>
    <mergeCell ref="F32:K32"/>
    <mergeCell ref="L32:M32"/>
    <mergeCell ref="N32:O32"/>
    <mergeCell ref="P32:Q32"/>
    <mergeCell ref="R32:S32"/>
    <mergeCell ref="V33:AA33"/>
    <mergeCell ref="AB33:AF33"/>
    <mergeCell ref="AG33:AH33"/>
    <mergeCell ref="AI33:AJ33"/>
    <mergeCell ref="AK33:AL33"/>
    <mergeCell ref="AM33:AO33"/>
    <mergeCell ref="B33:E33"/>
    <mergeCell ref="F33:K33"/>
    <mergeCell ref="L33:M33"/>
    <mergeCell ref="N33:O33"/>
    <mergeCell ref="P33:Q33"/>
    <mergeCell ref="R33:S33"/>
    <mergeCell ref="V34:AA34"/>
    <mergeCell ref="AB34:AF34"/>
    <mergeCell ref="AG34:AH34"/>
    <mergeCell ref="AI34:AJ34"/>
    <mergeCell ref="AK34:AL34"/>
    <mergeCell ref="AM34:AO34"/>
    <mergeCell ref="B34:E34"/>
    <mergeCell ref="F34:K34"/>
    <mergeCell ref="L34:M34"/>
    <mergeCell ref="N34:O34"/>
    <mergeCell ref="P34:Q34"/>
    <mergeCell ref="R34:S34"/>
    <mergeCell ref="V35:AA35"/>
    <mergeCell ref="AB35:AF35"/>
    <mergeCell ref="AG35:AH35"/>
    <mergeCell ref="AI35:AJ35"/>
    <mergeCell ref="AK35:AL35"/>
    <mergeCell ref="AM35:AO35"/>
    <mergeCell ref="B35:E35"/>
    <mergeCell ref="F35:K35"/>
    <mergeCell ref="L35:M35"/>
    <mergeCell ref="N35:O35"/>
    <mergeCell ref="P35:Q35"/>
    <mergeCell ref="R35:S35"/>
    <mergeCell ref="V36:AA36"/>
    <mergeCell ref="AB36:AF36"/>
    <mergeCell ref="AG36:AH36"/>
    <mergeCell ref="AI36:AJ36"/>
    <mergeCell ref="AK36:AL36"/>
    <mergeCell ref="AM36:AO36"/>
    <mergeCell ref="B36:E36"/>
    <mergeCell ref="F36:K36"/>
    <mergeCell ref="L36:M36"/>
    <mergeCell ref="N36:O36"/>
    <mergeCell ref="P36:Q36"/>
    <mergeCell ref="R36:S36"/>
    <mergeCell ref="V37:AA37"/>
    <mergeCell ref="AB37:AF37"/>
    <mergeCell ref="AG37:AH37"/>
    <mergeCell ref="AI37:AJ37"/>
    <mergeCell ref="AK37:AL37"/>
    <mergeCell ref="AM37:AO37"/>
    <mergeCell ref="B37:E37"/>
    <mergeCell ref="F37:K37"/>
    <mergeCell ref="L37:M37"/>
    <mergeCell ref="N37:O37"/>
    <mergeCell ref="P37:Q37"/>
    <mergeCell ref="R37:S37"/>
    <mergeCell ref="V38:AA38"/>
    <mergeCell ref="AB38:AF38"/>
    <mergeCell ref="AG38:AH38"/>
    <mergeCell ref="AI38:AJ38"/>
    <mergeCell ref="AK38:AL38"/>
    <mergeCell ref="AM38:AO38"/>
    <mergeCell ref="B38:E38"/>
    <mergeCell ref="F38:K38"/>
    <mergeCell ref="L38:M38"/>
    <mergeCell ref="N38:O38"/>
    <mergeCell ref="P38:Q38"/>
    <mergeCell ref="R38:S38"/>
    <mergeCell ref="V39:AA39"/>
    <mergeCell ref="AB39:AF39"/>
    <mergeCell ref="AG39:AH39"/>
    <mergeCell ref="AI39:AJ39"/>
    <mergeCell ref="AK39:AL39"/>
    <mergeCell ref="AM39:AO39"/>
    <mergeCell ref="B39:E39"/>
    <mergeCell ref="F39:K39"/>
    <mergeCell ref="L39:M39"/>
    <mergeCell ref="N39:O39"/>
    <mergeCell ref="P39:Q39"/>
    <mergeCell ref="R39:S39"/>
    <mergeCell ref="V40:AA40"/>
    <mergeCell ref="AB40:AF40"/>
    <mergeCell ref="AG40:AH40"/>
    <mergeCell ref="AI40:AJ40"/>
    <mergeCell ref="AK40:AL40"/>
    <mergeCell ref="AM40:AO40"/>
    <mergeCell ref="B40:E40"/>
    <mergeCell ref="F40:K40"/>
    <mergeCell ref="L40:M40"/>
    <mergeCell ref="N40:O40"/>
    <mergeCell ref="P40:Q40"/>
    <mergeCell ref="R40:S40"/>
    <mergeCell ref="V41:AA41"/>
    <mergeCell ref="AB41:AF41"/>
    <mergeCell ref="AG41:AH41"/>
    <mergeCell ref="AI41:AJ41"/>
    <mergeCell ref="AK41:AL41"/>
    <mergeCell ref="AM41:AO41"/>
    <mergeCell ref="B41:E41"/>
    <mergeCell ref="F41:K41"/>
    <mergeCell ref="L41:M41"/>
    <mergeCell ref="N41:O41"/>
    <mergeCell ref="P41:Q41"/>
    <mergeCell ref="R41:S41"/>
    <mergeCell ref="V42:AA42"/>
    <mergeCell ref="AB42:AF42"/>
    <mergeCell ref="AG42:AH42"/>
    <mergeCell ref="AI42:AJ42"/>
    <mergeCell ref="AK42:AL42"/>
    <mergeCell ref="AM42:AO42"/>
    <mergeCell ref="B42:E42"/>
    <mergeCell ref="F42:K42"/>
    <mergeCell ref="L42:M42"/>
    <mergeCell ref="N42:O42"/>
    <mergeCell ref="P42:Q42"/>
    <mergeCell ref="R42:S42"/>
    <mergeCell ref="V43:AA43"/>
    <mergeCell ref="AB43:AF43"/>
    <mergeCell ref="AG43:AH43"/>
    <mergeCell ref="AI43:AJ43"/>
    <mergeCell ref="AK43:AL43"/>
    <mergeCell ref="AM43:AO43"/>
    <mergeCell ref="B43:E43"/>
    <mergeCell ref="F43:K43"/>
    <mergeCell ref="L43:M43"/>
    <mergeCell ref="N43:O43"/>
    <mergeCell ref="P43:Q43"/>
    <mergeCell ref="R43:S43"/>
    <mergeCell ref="V44:AA44"/>
    <mergeCell ref="AB44:AF44"/>
    <mergeCell ref="AG44:AH44"/>
    <mergeCell ref="AI44:AJ44"/>
    <mergeCell ref="AK44:AL44"/>
    <mergeCell ref="AM44:AO44"/>
    <mergeCell ref="B44:E44"/>
    <mergeCell ref="F44:K44"/>
    <mergeCell ref="L44:M44"/>
    <mergeCell ref="N44:O44"/>
    <mergeCell ref="P44:Q44"/>
    <mergeCell ref="R44:S44"/>
    <mergeCell ref="V45:AA45"/>
    <mergeCell ref="AB45:AF45"/>
    <mergeCell ref="AG45:AH45"/>
    <mergeCell ref="AI45:AJ45"/>
    <mergeCell ref="AK45:AL45"/>
    <mergeCell ref="AM45:AO45"/>
    <mergeCell ref="B45:E45"/>
    <mergeCell ref="F45:K45"/>
    <mergeCell ref="L45:M45"/>
    <mergeCell ref="N45:O45"/>
    <mergeCell ref="P45:Q45"/>
    <mergeCell ref="R45:S45"/>
    <mergeCell ref="V46:AA46"/>
    <mergeCell ref="AB46:AF46"/>
    <mergeCell ref="AG46:AH46"/>
    <mergeCell ref="AI46:AJ46"/>
    <mergeCell ref="AK46:AL46"/>
    <mergeCell ref="AM46:AO46"/>
    <mergeCell ref="B46:E46"/>
    <mergeCell ref="F46:K46"/>
    <mergeCell ref="L46:M46"/>
    <mergeCell ref="N46:O46"/>
    <mergeCell ref="P46:Q46"/>
    <mergeCell ref="R46:S46"/>
    <mergeCell ref="V47:AA47"/>
    <mergeCell ref="AB47:AF47"/>
    <mergeCell ref="AG47:AH47"/>
    <mergeCell ref="AI47:AJ47"/>
    <mergeCell ref="AK47:AL47"/>
    <mergeCell ref="AM47:AO47"/>
    <mergeCell ref="B47:E47"/>
    <mergeCell ref="F47:K47"/>
    <mergeCell ref="L47:M47"/>
    <mergeCell ref="N47:O47"/>
    <mergeCell ref="P47:Q47"/>
    <mergeCell ref="R47:S47"/>
    <mergeCell ref="V48:AA48"/>
    <mergeCell ref="AB48:AF48"/>
    <mergeCell ref="AG48:AH48"/>
    <mergeCell ref="AI48:AJ48"/>
    <mergeCell ref="AK48:AL48"/>
    <mergeCell ref="AM48:AO48"/>
    <mergeCell ref="B48:E48"/>
    <mergeCell ref="F48:K48"/>
    <mergeCell ref="L48:M48"/>
    <mergeCell ref="N48:O48"/>
    <mergeCell ref="P48:Q48"/>
    <mergeCell ref="R48:S48"/>
    <mergeCell ref="V49:AA49"/>
    <mergeCell ref="AB49:AF49"/>
    <mergeCell ref="AG49:AH49"/>
    <mergeCell ref="AI49:AJ49"/>
    <mergeCell ref="AK49:AL49"/>
    <mergeCell ref="AM49:AO49"/>
    <mergeCell ref="B49:E49"/>
    <mergeCell ref="F49:K49"/>
    <mergeCell ref="L49:M49"/>
    <mergeCell ref="N49:O49"/>
    <mergeCell ref="P49:Q49"/>
    <mergeCell ref="R49:S49"/>
    <mergeCell ref="V50:AA50"/>
    <mergeCell ref="AB50:AF50"/>
    <mergeCell ref="AG50:AH50"/>
    <mergeCell ref="AI50:AJ50"/>
    <mergeCell ref="AK50:AL50"/>
    <mergeCell ref="AM50:AO50"/>
    <mergeCell ref="B50:E50"/>
    <mergeCell ref="F50:K50"/>
    <mergeCell ref="L50:M50"/>
    <mergeCell ref="N50:O50"/>
    <mergeCell ref="P50:Q50"/>
    <mergeCell ref="R50:S50"/>
    <mergeCell ref="V51:AA51"/>
    <mergeCell ref="AB51:AF51"/>
    <mergeCell ref="AG51:AH51"/>
    <mergeCell ref="AI51:AJ51"/>
    <mergeCell ref="AK51:AL51"/>
    <mergeCell ref="AM51:AO51"/>
    <mergeCell ref="B51:E51"/>
    <mergeCell ref="F51:K51"/>
    <mergeCell ref="L51:M51"/>
    <mergeCell ref="N51:O51"/>
    <mergeCell ref="P51:Q51"/>
    <mergeCell ref="R51:S51"/>
  </mergeCells>
  <pageMargins left="0.90551181102362199" right="0.74803149606299213" top="0.6692913385826772" bottom="0.98425196850393704" header="0.51181102362204722" footer="0.51181102362204722"/>
  <pageSetup paperSize="9" scale="73" orientation="portrait" r:id="rId1"/>
  <headerFooter alignWithMargins="0">
    <oddHeader>&amp;R&amp;"MS Sans Serif,Bold"&amp;13&amp;A</oddHeader>
  </headerFooter>
  <drawing r:id="rId2"/>
  <legacyDrawing r:id="rId3"/>
  <oleObjects>
    <mc:AlternateContent xmlns:mc="http://schemas.openxmlformats.org/markup-compatibility/2006">
      <mc:Choice Requires="x14">
        <oleObject progId="PBrush" shapeId="39937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142875</xdr:colOff>
                <xdr:row>3</xdr:row>
                <xdr:rowOff>76200</xdr:rowOff>
              </to>
            </anchor>
          </objectPr>
        </oleObject>
      </mc:Choice>
      <mc:Fallback>
        <oleObject progId="PBrush" shapeId="3993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CD88"/>
  <sheetViews>
    <sheetView showGridLines="0" view="pageBreakPreview" topLeftCell="C34" zoomScale="70" zoomScaleSheetLayoutView="70" workbookViewId="0">
      <selection activeCell="AR49" sqref="AR49"/>
    </sheetView>
  </sheetViews>
  <sheetFormatPr defaultRowHeight="12.75" x14ac:dyDescent="0.2"/>
  <cols>
    <col min="1" max="1" width="2.28515625" style="40" customWidth="1"/>
    <col min="2" max="2" width="11" style="40" customWidth="1"/>
    <col min="3" max="3" width="8.42578125" style="40" customWidth="1"/>
    <col min="4" max="4" width="8.85546875" style="40" customWidth="1"/>
    <col min="5" max="8" width="8.7109375" style="40" customWidth="1"/>
    <col min="9" max="11" width="6" style="40" customWidth="1"/>
    <col min="12" max="14" width="7.28515625" style="40" customWidth="1"/>
    <col min="15" max="26" width="5.42578125" style="40" customWidth="1"/>
    <col min="27" max="48" width="6.28515625" style="40" hidden="1" customWidth="1"/>
    <col min="49" max="49" width="0.7109375" style="40" customWidth="1"/>
    <col min="50" max="50" width="11.85546875" style="40" hidden="1" customWidth="1"/>
    <col min="51" max="51" width="5.140625" style="41" hidden="1" customWidth="1"/>
    <col min="52" max="52" width="10.28515625" style="40" hidden="1" customWidth="1"/>
    <col min="53" max="53" width="6" style="40" bestFit="1" customWidth="1"/>
    <col min="54" max="54" width="6.5703125" style="41" bestFit="1" customWidth="1"/>
    <col min="55" max="55" width="4.5703125" style="41" hidden="1" customWidth="1"/>
    <col min="56" max="56" width="7.7109375" style="40" bestFit="1" customWidth="1"/>
    <col min="57" max="57" width="6.5703125" style="40" bestFit="1" customWidth="1"/>
    <col min="58" max="58" width="6.140625" style="40" bestFit="1" customWidth="1"/>
    <col min="59" max="59" width="1" style="40" customWidth="1"/>
    <col min="60" max="60" width="6.7109375" style="40" bestFit="1" customWidth="1"/>
    <col min="61" max="61" width="7" style="40" customWidth="1"/>
    <col min="62" max="62" width="7.42578125" style="40" customWidth="1"/>
    <col min="63" max="63" width="7.28515625" style="40" customWidth="1"/>
    <col min="64" max="64" width="8.42578125" style="40" customWidth="1"/>
    <col min="65" max="65" width="13.5703125" style="40" bestFit="1" customWidth="1"/>
    <col min="66" max="66" width="24.140625" style="40" bestFit="1" customWidth="1"/>
    <col min="67" max="67" width="4" style="42" customWidth="1"/>
    <col min="68" max="68" width="14" style="69" customWidth="1"/>
    <col min="69" max="69" width="3.85546875" style="69" customWidth="1"/>
    <col min="70" max="70" width="17.42578125" style="70" customWidth="1"/>
    <col min="71" max="71" width="2.140625" style="70" customWidth="1"/>
    <col min="72" max="72" width="8.42578125" style="70" customWidth="1"/>
    <col min="73" max="73" width="4.28515625" style="70" customWidth="1"/>
    <col min="74" max="74" width="13.7109375" style="70" customWidth="1"/>
    <col min="75" max="75" width="4.5703125" style="70" customWidth="1"/>
    <col min="76" max="76" width="9.7109375" style="70" customWidth="1"/>
    <col min="77" max="77" width="10.42578125" style="70" customWidth="1"/>
    <col min="78" max="79" width="9.7109375" style="70" customWidth="1"/>
    <col min="80" max="80" width="8.28515625" style="70" customWidth="1"/>
    <col min="81" max="82" width="9.7109375" style="70" customWidth="1"/>
    <col min="83" max="257" width="9.140625" style="40"/>
    <col min="258" max="258" width="2.28515625" style="40" customWidth="1"/>
    <col min="259" max="260" width="8.42578125" style="40" customWidth="1"/>
    <col min="261" max="261" width="13.5703125" style="40" customWidth="1"/>
    <col min="262" max="272" width="4.7109375" style="40" customWidth="1"/>
    <col min="273" max="273" width="3.85546875" style="40" customWidth="1"/>
    <col min="274" max="274" width="5" style="40" customWidth="1"/>
    <col min="275" max="275" width="3.5703125" style="40" customWidth="1"/>
    <col min="276" max="276" width="5.140625" style="40" customWidth="1"/>
    <col min="277" max="277" width="3.85546875" style="40" customWidth="1"/>
    <col min="278" max="278" width="4.7109375" style="40" customWidth="1"/>
    <col min="279" max="279" width="4.140625" style="40" customWidth="1"/>
    <col min="280" max="280" width="5" style="40" customWidth="1"/>
    <col min="281" max="281" width="4" style="40" customWidth="1"/>
    <col min="282" max="282" width="4.85546875" style="40" customWidth="1"/>
    <col min="283" max="283" width="4.42578125" style="40" bestFit="1" customWidth="1"/>
    <col min="284" max="305" width="0" style="40" hidden="1" customWidth="1"/>
    <col min="306" max="306" width="0.7109375" style="40" customWidth="1"/>
    <col min="307" max="307" width="12.85546875" style="40" bestFit="1" customWidth="1"/>
    <col min="308" max="308" width="7.7109375" style="40" bestFit="1" customWidth="1"/>
    <col min="309" max="309" width="10.85546875" style="40" bestFit="1" customWidth="1"/>
    <col min="310" max="311" width="6.5703125" style="40" bestFit="1" customWidth="1"/>
    <col min="312" max="312" width="4.5703125" style="40" bestFit="1" customWidth="1"/>
    <col min="313" max="313" width="7.7109375" style="40" bestFit="1" customWidth="1"/>
    <col min="314" max="314" width="6.5703125" style="40" bestFit="1" customWidth="1"/>
    <col min="315" max="315" width="6.140625" style="40" bestFit="1" customWidth="1"/>
    <col min="316" max="316" width="1" style="40" customWidth="1"/>
    <col min="317" max="317" width="4.85546875" style="40" bestFit="1" customWidth="1"/>
    <col min="318" max="318" width="7" style="40" customWidth="1"/>
    <col min="319" max="319" width="7.42578125" style="40" customWidth="1"/>
    <col min="320" max="320" width="7.28515625" style="40" customWidth="1"/>
    <col min="321" max="321" width="7.5703125" style="40" customWidth="1"/>
    <col min="322" max="322" width="13.5703125" style="40" bestFit="1" customWidth="1"/>
    <col min="323" max="323" width="24.140625" style="40" bestFit="1" customWidth="1"/>
    <col min="324" max="325" width="5.7109375" style="40" bestFit="1" customWidth="1"/>
    <col min="326" max="326" width="5.28515625" style="40" bestFit="1" customWidth="1"/>
    <col min="327" max="513" width="9.140625" style="40"/>
    <col min="514" max="514" width="2.28515625" style="40" customWidth="1"/>
    <col min="515" max="516" width="8.42578125" style="40" customWidth="1"/>
    <col min="517" max="517" width="13.5703125" style="40" customWidth="1"/>
    <col min="518" max="528" width="4.7109375" style="40" customWidth="1"/>
    <col min="529" max="529" width="3.85546875" style="40" customWidth="1"/>
    <col min="530" max="530" width="5" style="40" customWidth="1"/>
    <col min="531" max="531" width="3.5703125" style="40" customWidth="1"/>
    <col min="532" max="532" width="5.140625" style="40" customWidth="1"/>
    <col min="533" max="533" width="3.85546875" style="40" customWidth="1"/>
    <col min="534" max="534" width="4.7109375" style="40" customWidth="1"/>
    <col min="535" max="535" width="4.140625" style="40" customWidth="1"/>
    <col min="536" max="536" width="5" style="40" customWidth="1"/>
    <col min="537" max="537" width="4" style="40" customWidth="1"/>
    <col min="538" max="538" width="4.85546875" style="40" customWidth="1"/>
    <col min="539" max="539" width="4.42578125" style="40" bestFit="1" customWidth="1"/>
    <col min="540" max="561" width="0" style="40" hidden="1" customWidth="1"/>
    <col min="562" max="562" width="0.7109375" style="40" customWidth="1"/>
    <col min="563" max="563" width="12.85546875" style="40" bestFit="1" customWidth="1"/>
    <col min="564" max="564" width="7.7109375" style="40" bestFit="1" customWidth="1"/>
    <col min="565" max="565" width="10.85546875" style="40" bestFit="1" customWidth="1"/>
    <col min="566" max="567" width="6.5703125" style="40" bestFit="1" customWidth="1"/>
    <col min="568" max="568" width="4.5703125" style="40" bestFit="1" customWidth="1"/>
    <col min="569" max="569" width="7.7109375" style="40" bestFit="1" customWidth="1"/>
    <col min="570" max="570" width="6.5703125" style="40" bestFit="1" customWidth="1"/>
    <col min="571" max="571" width="6.140625" style="40" bestFit="1" customWidth="1"/>
    <col min="572" max="572" width="1" style="40" customWidth="1"/>
    <col min="573" max="573" width="4.85546875" style="40" bestFit="1" customWidth="1"/>
    <col min="574" max="574" width="7" style="40" customWidth="1"/>
    <col min="575" max="575" width="7.42578125" style="40" customWidth="1"/>
    <col min="576" max="576" width="7.28515625" style="40" customWidth="1"/>
    <col min="577" max="577" width="7.5703125" style="40" customWidth="1"/>
    <col min="578" max="578" width="13.5703125" style="40" bestFit="1" customWidth="1"/>
    <col min="579" max="579" width="24.140625" style="40" bestFit="1" customWidth="1"/>
    <col min="580" max="581" width="5.7109375" style="40" bestFit="1" customWidth="1"/>
    <col min="582" max="582" width="5.28515625" style="40" bestFit="1" customWidth="1"/>
    <col min="583" max="769" width="9.140625" style="40"/>
    <col min="770" max="770" width="2.28515625" style="40" customWidth="1"/>
    <col min="771" max="772" width="8.42578125" style="40" customWidth="1"/>
    <col min="773" max="773" width="13.5703125" style="40" customWidth="1"/>
    <col min="774" max="784" width="4.7109375" style="40" customWidth="1"/>
    <col min="785" max="785" width="3.85546875" style="40" customWidth="1"/>
    <col min="786" max="786" width="5" style="40" customWidth="1"/>
    <col min="787" max="787" width="3.5703125" style="40" customWidth="1"/>
    <col min="788" max="788" width="5.140625" style="40" customWidth="1"/>
    <col min="789" max="789" width="3.85546875" style="40" customWidth="1"/>
    <col min="790" max="790" width="4.7109375" style="40" customWidth="1"/>
    <col min="791" max="791" width="4.140625" style="40" customWidth="1"/>
    <col min="792" max="792" width="5" style="40" customWidth="1"/>
    <col min="793" max="793" width="4" style="40" customWidth="1"/>
    <col min="794" max="794" width="4.85546875" style="40" customWidth="1"/>
    <col min="795" max="795" width="4.42578125" style="40" bestFit="1" customWidth="1"/>
    <col min="796" max="817" width="0" style="40" hidden="1" customWidth="1"/>
    <col min="818" max="818" width="0.7109375" style="40" customWidth="1"/>
    <col min="819" max="819" width="12.85546875" style="40" bestFit="1" customWidth="1"/>
    <col min="820" max="820" width="7.7109375" style="40" bestFit="1" customWidth="1"/>
    <col min="821" max="821" width="10.85546875" style="40" bestFit="1" customWidth="1"/>
    <col min="822" max="823" width="6.5703125" style="40" bestFit="1" customWidth="1"/>
    <col min="824" max="824" width="4.5703125" style="40" bestFit="1" customWidth="1"/>
    <col min="825" max="825" width="7.7109375" style="40" bestFit="1" customWidth="1"/>
    <col min="826" max="826" width="6.5703125" style="40" bestFit="1" customWidth="1"/>
    <col min="827" max="827" width="6.140625" style="40" bestFit="1" customWidth="1"/>
    <col min="828" max="828" width="1" style="40" customWidth="1"/>
    <col min="829" max="829" width="4.85546875" style="40" bestFit="1" customWidth="1"/>
    <col min="830" max="830" width="7" style="40" customWidth="1"/>
    <col min="831" max="831" width="7.42578125" style="40" customWidth="1"/>
    <col min="832" max="832" width="7.28515625" style="40" customWidth="1"/>
    <col min="833" max="833" width="7.5703125" style="40" customWidth="1"/>
    <col min="834" max="834" width="13.5703125" style="40" bestFit="1" customWidth="1"/>
    <col min="835" max="835" width="24.140625" style="40" bestFit="1" customWidth="1"/>
    <col min="836" max="837" width="5.7109375" style="40" bestFit="1" customWidth="1"/>
    <col min="838" max="838" width="5.28515625" style="40" bestFit="1" customWidth="1"/>
    <col min="839" max="1025" width="9.140625" style="40"/>
    <col min="1026" max="1026" width="2.28515625" style="40" customWidth="1"/>
    <col min="1027" max="1028" width="8.42578125" style="40" customWidth="1"/>
    <col min="1029" max="1029" width="13.5703125" style="40" customWidth="1"/>
    <col min="1030" max="1040" width="4.7109375" style="40" customWidth="1"/>
    <col min="1041" max="1041" width="3.85546875" style="40" customWidth="1"/>
    <col min="1042" max="1042" width="5" style="40" customWidth="1"/>
    <col min="1043" max="1043" width="3.5703125" style="40" customWidth="1"/>
    <col min="1044" max="1044" width="5.140625" style="40" customWidth="1"/>
    <col min="1045" max="1045" width="3.85546875" style="40" customWidth="1"/>
    <col min="1046" max="1046" width="4.7109375" style="40" customWidth="1"/>
    <col min="1047" max="1047" width="4.140625" style="40" customWidth="1"/>
    <col min="1048" max="1048" width="5" style="40" customWidth="1"/>
    <col min="1049" max="1049" width="4" style="40" customWidth="1"/>
    <col min="1050" max="1050" width="4.85546875" style="40" customWidth="1"/>
    <col min="1051" max="1051" width="4.42578125" style="40" bestFit="1" customWidth="1"/>
    <col min="1052" max="1073" width="0" style="40" hidden="1" customWidth="1"/>
    <col min="1074" max="1074" width="0.7109375" style="40" customWidth="1"/>
    <col min="1075" max="1075" width="12.85546875" style="40" bestFit="1" customWidth="1"/>
    <col min="1076" max="1076" width="7.7109375" style="40" bestFit="1" customWidth="1"/>
    <col min="1077" max="1077" width="10.85546875" style="40" bestFit="1" customWidth="1"/>
    <col min="1078" max="1079" width="6.5703125" style="40" bestFit="1" customWidth="1"/>
    <col min="1080" max="1080" width="4.5703125" style="40" bestFit="1" customWidth="1"/>
    <col min="1081" max="1081" width="7.7109375" style="40" bestFit="1" customWidth="1"/>
    <col min="1082" max="1082" width="6.5703125" style="40" bestFit="1" customWidth="1"/>
    <col min="1083" max="1083" width="6.140625" style="40" bestFit="1" customWidth="1"/>
    <col min="1084" max="1084" width="1" style="40" customWidth="1"/>
    <col min="1085" max="1085" width="4.85546875" style="40" bestFit="1" customWidth="1"/>
    <col min="1086" max="1086" width="7" style="40" customWidth="1"/>
    <col min="1087" max="1087" width="7.42578125" style="40" customWidth="1"/>
    <col min="1088" max="1088" width="7.28515625" style="40" customWidth="1"/>
    <col min="1089" max="1089" width="7.5703125" style="40" customWidth="1"/>
    <col min="1090" max="1090" width="13.5703125" style="40" bestFit="1" customWidth="1"/>
    <col min="1091" max="1091" width="24.140625" style="40" bestFit="1" customWidth="1"/>
    <col min="1092" max="1093" width="5.7109375" style="40" bestFit="1" customWidth="1"/>
    <col min="1094" max="1094" width="5.28515625" style="40" bestFit="1" customWidth="1"/>
    <col min="1095" max="1281" width="9.140625" style="40"/>
    <col min="1282" max="1282" width="2.28515625" style="40" customWidth="1"/>
    <col min="1283" max="1284" width="8.42578125" style="40" customWidth="1"/>
    <col min="1285" max="1285" width="13.5703125" style="40" customWidth="1"/>
    <col min="1286" max="1296" width="4.7109375" style="40" customWidth="1"/>
    <col min="1297" max="1297" width="3.85546875" style="40" customWidth="1"/>
    <col min="1298" max="1298" width="5" style="40" customWidth="1"/>
    <col min="1299" max="1299" width="3.5703125" style="40" customWidth="1"/>
    <col min="1300" max="1300" width="5.140625" style="40" customWidth="1"/>
    <col min="1301" max="1301" width="3.85546875" style="40" customWidth="1"/>
    <col min="1302" max="1302" width="4.7109375" style="40" customWidth="1"/>
    <col min="1303" max="1303" width="4.140625" style="40" customWidth="1"/>
    <col min="1304" max="1304" width="5" style="40" customWidth="1"/>
    <col min="1305" max="1305" width="4" style="40" customWidth="1"/>
    <col min="1306" max="1306" width="4.85546875" style="40" customWidth="1"/>
    <col min="1307" max="1307" width="4.42578125" style="40" bestFit="1" customWidth="1"/>
    <col min="1308" max="1329" width="0" style="40" hidden="1" customWidth="1"/>
    <col min="1330" max="1330" width="0.7109375" style="40" customWidth="1"/>
    <col min="1331" max="1331" width="12.85546875" style="40" bestFit="1" customWidth="1"/>
    <col min="1332" max="1332" width="7.7109375" style="40" bestFit="1" customWidth="1"/>
    <col min="1333" max="1333" width="10.85546875" style="40" bestFit="1" customWidth="1"/>
    <col min="1334" max="1335" width="6.5703125" style="40" bestFit="1" customWidth="1"/>
    <col min="1336" max="1336" width="4.5703125" style="40" bestFit="1" customWidth="1"/>
    <col min="1337" max="1337" width="7.7109375" style="40" bestFit="1" customWidth="1"/>
    <col min="1338" max="1338" width="6.5703125" style="40" bestFit="1" customWidth="1"/>
    <col min="1339" max="1339" width="6.140625" style="40" bestFit="1" customWidth="1"/>
    <col min="1340" max="1340" width="1" style="40" customWidth="1"/>
    <col min="1341" max="1341" width="4.85546875" style="40" bestFit="1" customWidth="1"/>
    <col min="1342" max="1342" width="7" style="40" customWidth="1"/>
    <col min="1343" max="1343" width="7.42578125" style="40" customWidth="1"/>
    <col min="1344" max="1344" width="7.28515625" style="40" customWidth="1"/>
    <col min="1345" max="1345" width="7.5703125" style="40" customWidth="1"/>
    <col min="1346" max="1346" width="13.5703125" style="40" bestFit="1" customWidth="1"/>
    <col min="1347" max="1347" width="24.140625" style="40" bestFit="1" customWidth="1"/>
    <col min="1348" max="1349" width="5.7109375" style="40" bestFit="1" customWidth="1"/>
    <col min="1350" max="1350" width="5.28515625" style="40" bestFit="1" customWidth="1"/>
    <col min="1351" max="1537" width="9.140625" style="40"/>
    <col min="1538" max="1538" width="2.28515625" style="40" customWidth="1"/>
    <col min="1539" max="1540" width="8.42578125" style="40" customWidth="1"/>
    <col min="1541" max="1541" width="13.5703125" style="40" customWidth="1"/>
    <col min="1542" max="1552" width="4.7109375" style="40" customWidth="1"/>
    <col min="1553" max="1553" width="3.85546875" style="40" customWidth="1"/>
    <col min="1554" max="1554" width="5" style="40" customWidth="1"/>
    <col min="1555" max="1555" width="3.5703125" style="40" customWidth="1"/>
    <col min="1556" max="1556" width="5.140625" style="40" customWidth="1"/>
    <col min="1557" max="1557" width="3.85546875" style="40" customWidth="1"/>
    <col min="1558" max="1558" width="4.7109375" style="40" customWidth="1"/>
    <col min="1559" max="1559" width="4.140625" style="40" customWidth="1"/>
    <col min="1560" max="1560" width="5" style="40" customWidth="1"/>
    <col min="1561" max="1561" width="4" style="40" customWidth="1"/>
    <col min="1562" max="1562" width="4.85546875" style="40" customWidth="1"/>
    <col min="1563" max="1563" width="4.42578125" style="40" bestFit="1" customWidth="1"/>
    <col min="1564" max="1585" width="0" style="40" hidden="1" customWidth="1"/>
    <col min="1586" max="1586" width="0.7109375" style="40" customWidth="1"/>
    <col min="1587" max="1587" width="12.85546875" style="40" bestFit="1" customWidth="1"/>
    <col min="1588" max="1588" width="7.7109375" style="40" bestFit="1" customWidth="1"/>
    <col min="1589" max="1589" width="10.85546875" style="40" bestFit="1" customWidth="1"/>
    <col min="1590" max="1591" width="6.5703125" style="40" bestFit="1" customWidth="1"/>
    <col min="1592" max="1592" width="4.5703125" style="40" bestFit="1" customWidth="1"/>
    <col min="1593" max="1593" width="7.7109375" style="40" bestFit="1" customWidth="1"/>
    <col min="1594" max="1594" width="6.5703125" style="40" bestFit="1" customWidth="1"/>
    <col min="1595" max="1595" width="6.140625" style="40" bestFit="1" customWidth="1"/>
    <col min="1596" max="1596" width="1" style="40" customWidth="1"/>
    <col min="1597" max="1597" width="4.85546875" style="40" bestFit="1" customWidth="1"/>
    <col min="1598" max="1598" width="7" style="40" customWidth="1"/>
    <col min="1599" max="1599" width="7.42578125" style="40" customWidth="1"/>
    <col min="1600" max="1600" width="7.28515625" style="40" customWidth="1"/>
    <col min="1601" max="1601" width="7.5703125" style="40" customWidth="1"/>
    <col min="1602" max="1602" width="13.5703125" style="40" bestFit="1" customWidth="1"/>
    <col min="1603" max="1603" width="24.140625" style="40" bestFit="1" customWidth="1"/>
    <col min="1604" max="1605" width="5.7109375" style="40" bestFit="1" customWidth="1"/>
    <col min="1606" max="1606" width="5.28515625" style="40" bestFit="1" customWidth="1"/>
    <col min="1607" max="1793" width="9.140625" style="40"/>
    <col min="1794" max="1794" width="2.28515625" style="40" customWidth="1"/>
    <col min="1795" max="1796" width="8.42578125" style="40" customWidth="1"/>
    <col min="1797" max="1797" width="13.5703125" style="40" customWidth="1"/>
    <col min="1798" max="1808" width="4.7109375" style="40" customWidth="1"/>
    <col min="1809" max="1809" width="3.85546875" style="40" customWidth="1"/>
    <col min="1810" max="1810" width="5" style="40" customWidth="1"/>
    <col min="1811" max="1811" width="3.5703125" style="40" customWidth="1"/>
    <col min="1812" max="1812" width="5.140625" style="40" customWidth="1"/>
    <col min="1813" max="1813" width="3.85546875" style="40" customWidth="1"/>
    <col min="1814" max="1814" width="4.7109375" style="40" customWidth="1"/>
    <col min="1815" max="1815" width="4.140625" style="40" customWidth="1"/>
    <col min="1816" max="1816" width="5" style="40" customWidth="1"/>
    <col min="1817" max="1817" width="4" style="40" customWidth="1"/>
    <col min="1818" max="1818" width="4.85546875" style="40" customWidth="1"/>
    <col min="1819" max="1819" width="4.42578125" style="40" bestFit="1" customWidth="1"/>
    <col min="1820" max="1841" width="0" style="40" hidden="1" customWidth="1"/>
    <col min="1842" max="1842" width="0.7109375" style="40" customWidth="1"/>
    <col min="1843" max="1843" width="12.85546875" style="40" bestFit="1" customWidth="1"/>
    <col min="1844" max="1844" width="7.7109375" style="40" bestFit="1" customWidth="1"/>
    <col min="1845" max="1845" width="10.85546875" style="40" bestFit="1" customWidth="1"/>
    <col min="1846" max="1847" width="6.5703125" style="40" bestFit="1" customWidth="1"/>
    <col min="1848" max="1848" width="4.5703125" style="40" bestFit="1" customWidth="1"/>
    <col min="1849" max="1849" width="7.7109375" style="40" bestFit="1" customWidth="1"/>
    <col min="1850" max="1850" width="6.5703125" style="40" bestFit="1" customWidth="1"/>
    <col min="1851" max="1851" width="6.140625" style="40" bestFit="1" customWidth="1"/>
    <col min="1852" max="1852" width="1" style="40" customWidth="1"/>
    <col min="1853" max="1853" width="4.85546875" style="40" bestFit="1" customWidth="1"/>
    <col min="1854" max="1854" width="7" style="40" customWidth="1"/>
    <col min="1855" max="1855" width="7.42578125" style="40" customWidth="1"/>
    <col min="1856" max="1856" width="7.28515625" style="40" customWidth="1"/>
    <col min="1857" max="1857" width="7.5703125" style="40" customWidth="1"/>
    <col min="1858" max="1858" width="13.5703125" style="40" bestFit="1" customWidth="1"/>
    <col min="1859" max="1859" width="24.140625" style="40" bestFit="1" customWidth="1"/>
    <col min="1860" max="1861" width="5.7109375" style="40" bestFit="1" customWidth="1"/>
    <col min="1862" max="1862" width="5.28515625" style="40" bestFit="1" customWidth="1"/>
    <col min="1863" max="2049" width="9.140625" style="40"/>
    <col min="2050" max="2050" width="2.28515625" style="40" customWidth="1"/>
    <col min="2051" max="2052" width="8.42578125" style="40" customWidth="1"/>
    <col min="2053" max="2053" width="13.5703125" style="40" customWidth="1"/>
    <col min="2054" max="2064" width="4.7109375" style="40" customWidth="1"/>
    <col min="2065" max="2065" width="3.85546875" style="40" customWidth="1"/>
    <col min="2066" max="2066" width="5" style="40" customWidth="1"/>
    <col min="2067" max="2067" width="3.5703125" style="40" customWidth="1"/>
    <col min="2068" max="2068" width="5.140625" style="40" customWidth="1"/>
    <col min="2069" max="2069" width="3.85546875" style="40" customWidth="1"/>
    <col min="2070" max="2070" width="4.7109375" style="40" customWidth="1"/>
    <col min="2071" max="2071" width="4.140625" style="40" customWidth="1"/>
    <col min="2072" max="2072" width="5" style="40" customWidth="1"/>
    <col min="2073" max="2073" width="4" style="40" customWidth="1"/>
    <col min="2074" max="2074" width="4.85546875" style="40" customWidth="1"/>
    <col min="2075" max="2075" width="4.42578125" style="40" bestFit="1" customWidth="1"/>
    <col min="2076" max="2097" width="0" style="40" hidden="1" customWidth="1"/>
    <col min="2098" max="2098" width="0.7109375" style="40" customWidth="1"/>
    <col min="2099" max="2099" width="12.85546875" style="40" bestFit="1" customWidth="1"/>
    <col min="2100" max="2100" width="7.7109375" style="40" bestFit="1" customWidth="1"/>
    <col min="2101" max="2101" width="10.85546875" style="40" bestFit="1" customWidth="1"/>
    <col min="2102" max="2103" width="6.5703125" style="40" bestFit="1" customWidth="1"/>
    <col min="2104" max="2104" width="4.5703125" style="40" bestFit="1" customWidth="1"/>
    <col min="2105" max="2105" width="7.7109375" style="40" bestFit="1" customWidth="1"/>
    <col min="2106" max="2106" width="6.5703125" style="40" bestFit="1" customWidth="1"/>
    <col min="2107" max="2107" width="6.140625" style="40" bestFit="1" customWidth="1"/>
    <col min="2108" max="2108" width="1" style="40" customWidth="1"/>
    <col min="2109" max="2109" width="4.85546875" style="40" bestFit="1" customWidth="1"/>
    <col min="2110" max="2110" width="7" style="40" customWidth="1"/>
    <col min="2111" max="2111" width="7.42578125" style="40" customWidth="1"/>
    <col min="2112" max="2112" width="7.28515625" style="40" customWidth="1"/>
    <col min="2113" max="2113" width="7.5703125" style="40" customWidth="1"/>
    <col min="2114" max="2114" width="13.5703125" style="40" bestFit="1" customWidth="1"/>
    <col min="2115" max="2115" width="24.140625" style="40" bestFit="1" customWidth="1"/>
    <col min="2116" max="2117" width="5.7109375" style="40" bestFit="1" customWidth="1"/>
    <col min="2118" max="2118" width="5.28515625" style="40" bestFit="1" customWidth="1"/>
    <col min="2119" max="2305" width="9.140625" style="40"/>
    <col min="2306" max="2306" width="2.28515625" style="40" customWidth="1"/>
    <col min="2307" max="2308" width="8.42578125" style="40" customWidth="1"/>
    <col min="2309" max="2309" width="13.5703125" style="40" customWidth="1"/>
    <col min="2310" max="2320" width="4.7109375" style="40" customWidth="1"/>
    <col min="2321" max="2321" width="3.85546875" style="40" customWidth="1"/>
    <col min="2322" max="2322" width="5" style="40" customWidth="1"/>
    <col min="2323" max="2323" width="3.5703125" style="40" customWidth="1"/>
    <col min="2324" max="2324" width="5.140625" style="40" customWidth="1"/>
    <col min="2325" max="2325" width="3.85546875" style="40" customWidth="1"/>
    <col min="2326" max="2326" width="4.7109375" style="40" customWidth="1"/>
    <col min="2327" max="2327" width="4.140625" style="40" customWidth="1"/>
    <col min="2328" max="2328" width="5" style="40" customWidth="1"/>
    <col min="2329" max="2329" width="4" style="40" customWidth="1"/>
    <col min="2330" max="2330" width="4.85546875" style="40" customWidth="1"/>
    <col min="2331" max="2331" width="4.42578125" style="40" bestFit="1" customWidth="1"/>
    <col min="2332" max="2353" width="0" style="40" hidden="1" customWidth="1"/>
    <col min="2354" max="2354" width="0.7109375" style="40" customWidth="1"/>
    <col min="2355" max="2355" width="12.85546875" style="40" bestFit="1" customWidth="1"/>
    <col min="2356" max="2356" width="7.7109375" style="40" bestFit="1" customWidth="1"/>
    <col min="2357" max="2357" width="10.85546875" style="40" bestFit="1" customWidth="1"/>
    <col min="2358" max="2359" width="6.5703125" style="40" bestFit="1" customWidth="1"/>
    <col min="2360" max="2360" width="4.5703125" style="40" bestFit="1" customWidth="1"/>
    <col min="2361" max="2361" width="7.7109375" style="40" bestFit="1" customWidth="1"/>
    <col min="2362" max="2362" width="6.5703125" style="40" bestFit="1" customWidth="1"/>
    <col min="2363" max="2363" width="6.140625" style="40" bestFit="1" customWidth="1"/>
    <col min="2364" max="2364" width="1" style="40" customWidth="1"/>
    <col min="2365" max="2365" width="4.85546875" style="40" bestFit="1" customWidth="1"/>
    <col min="2366" max="2366" width="7" style="40" customWidth="1"/>
    <col min="2367" max="2367" width="7.42578125" style="40" customWidth="1"/>
    <col min="2368" max="2368" width="7.28515625" style="40" customWidth="1"/>
    <col min="2369" max="2369" width="7.5703125" style="40" customWidth="1"/>
    <col min="2370" max="2370" width="13.5703125" style="40" bestFit="1" customWidth="1"/>
    <col min="2371" max="2371" width="24.140625" style="40" bestFit="1" customWidth="1"/>
    <col min="2372" max="2373" width="5.7109375" style="40" bestFit="1" customWidth="1"/>
    <col min="2374" max="2374" width="5.28515625" style="40" bestFit="1" customWidth="1"/>
    <col min="2375" max="2561" width="9.140625" style="40"/>
    <col min="2562" max="2562" width="2.28515625" style="40" customWidth="1"/>
    <col min="2563" max="2564" width="8.42578125" style="40" customWidth="1"/>
    <col min="2565" max="2565" width="13.5703125" style="40" customWidth="1"/>
    <col min="2566" max="2576" width="4.7109375" style="40" customWidth="1"/>
    <col min="2577" max="2577" width="3.85546875" style="40" customWidth="1"/>
    <col min="2578" max="2578" width="5" style="40" customWidth="1"/>
    <col min="2579" max="2579" width="3.5703125" style="40" customWidth="1"/>
    <col min="2580" max="2580" width="5.140625" style="40" customWidth="1"/>
    <col min="2581" max="2581" width="3.85546875" style="40" customWidth="1"/>
    <col min="2582" max="2582" width="4.7109375" style="40" customWidth="1"/>
    <col min="2583" max="2583" width="4.140625" style="40" customWidth="1"/>
    <col min="2584" max="2584" width="5" style="40" customWidth="1"/>
    <col min="2585" max="2585" width="4" style="40" customWidth="1"/>
    <col min="2586" max="2586" width="4.85546875" style="40" customWidth="1"/>
    <col min="2587" max="2587" width="4.42578125" style="40" bestFit="1" customWidth="1"/>
    <col min="2588" max="2609" width="0" style="40" hidden="1" customWidth="1"/>
    <col min="2610" max="2610" width="0.7109375" style="40" customWidth="1"/>
    <col min="2611" max="2611" width="12.85546875" style="40" bestFit="1" customWidth="1"/>
    <col min="2612" max="2612" width="7.7109375" style="40" bestFit="1" customWidth="1"/>
    <col min="2613" max="2613" width="10.85546875" style="40" bestFit="1" customWidth="1"/>
    <col min="2614" max="2615" width="6.5703125" style="40" bestFit="1" customWidth="1"/>
    <col min="2616" max="2616" width="4.5703125" style="40" bestFit="1" customWidth="1"/>
    <col min="2617" max="2617" width="7.7109375" style="40" bestFit="1" customWidth="1"/>
    <col min="2618" max="2618" width="6.5703125" style="40" bestFit="1" customWidth="1"/>
    <col min="2619" max="2619" width="6.140625" style="40" bestFit="1" customWidth="1"/>
    <col min="2620" max="2620" width="1" style="40" customWidth="1"/>
    <col min="2621" max="2621" width="4.85546875" style="40" bestFit="1" customWidth="1"/>
    <col min="2622" max="2622" width="7" style="40" customWidth="1"/>
    <col min="2623" max="2623" width="7.42578125" style="40" customWidth="1"/>
    <col min="2624" max="2624" width="7.28515625" style="40" customWidth="1"/>
    <col min="2625" max="2625" width="7.5703125" style="40" customWidth="1"/>
    <col min="2626" max="2626" width="13.5703125" style="40" bestFit="1" customWidth="1"/>
    <col min="2627" max="2627" width="24.140625" style="40" bestFit="1" customWidth="1"/>
    <col min="2628" max="2629" width="5.7109375" style="40" bestFit="1" customWidth="1"/>
    <col min="2630" max="2630" width="5.28515625" style="40" bestFit="1" customWidth="1"/>
    <col min="2631" max="2817" width="9.140625" style="40"/>
    <col min="2818" max="2818" width="2.28515625" style="40" customWidth="1"/>
    <col min="2819" max="2820" width="8.42578125" style="40" customWidth="1"/>
    <col min="2821" max="2821" width="13.5703125" style="40" customWidth="1"/>
    <col min="2822" max="2832" width="4.7109375" style="40" customWidth="1"/>
    <col min="2833" max="2833" width="3.85546875" style="40" customWidth="1"/>
    <col min="2834" max="2834" width="5" style="40" customWidth="1"/>
    <col min="2835" max="2835" width="3.5703125" style="40" customWidth="1"/>
    <col min="2836" max="2836" width="5.140625" style="40" customWidth="1"/>
    <col min="2837" max="2837" width="3.85546875" style="40" customWidth="1"/>
    <col min="2838" max="2838" width="4.7109375" style="40" customWidth="1"/>
    <col min="2839" max="2839" width="4.140625" style="40" customWidth="1"/>
    <col min="2840" max="2840" width="5" style="40" customWidth="1"/>
    <col min="2841" max="2841" width="4" style="40" customWidth="1"/>
    <col min="2842" max="2842" width="4.85546875" style="40" customWidth="1"/>
    <col min="2843" max="2843" width="4.42578125" style="40" bestFit="1" customWidth="1"/>
    <col min="2844" max="2865" width="0" style="40" hidden="1" customWidth="1"/>
    <col min="2866" max="2866" width="0.7109375" style="40" customWidth="1"/>
    <col min="2867" max="2867" width="12.85546875" style="40" bestFit="1" customWidth="1"/>
    <col min="2868" max="2868" width="7.7109375" style="40" bestFit="1" customWidth="1"/>
    <col min="2869" max="2869" width="10.85546875" style="40" bestFit="1" customWidth="1"/>
    <col min="2870" max="2871" width="6.5703125" style="40" bestFit="1" customWidth="1"/>
    <col min="2872" max="2872" width="4.5703125" style="40" bestFit="1" customWidth="1"/>
    <col min="2873" max="2873" width="7.7109375" style="40" bestFit="1" customWidth="1"/>
    <col min="2874" max="2874" width="6.5703125" style="40" bestFit="1" customWidth="1"/>
    <col min="2875" max="2875" width="6.140625" style="40" bestFit="1" customWidth="1"/>
    <col min="2876" max="2876" width="1" style="40" customWidth="1"/>
    <col min="2877" max="2877" width="4.85546875" style="40" bestFit="1" customWidth="1"/>
    <col min="2878" max="2878" width="7" style="40" customWidth="1"/>
    <col min="2879" max="2879" width="7.42578125" style="40" customWidth="1"/>
    <col min="2880" max="2880" width="7.28515625" style="40" customWidth="1"/>
    <col min="2881" max="2881" width="7.5703125" style="40" customWidth="1"/>
    <col min="2882" max="2882" width="13.5703125" style="40" bestFit="1" customWidth="1"/>
    <col min="2883" max="2883" width="24.140625" style="40" bestFit="1" customWidth="1"/>
    <col min="2884" max="2885" width="5.7109375" style="40" bestFit="1" customWidth="1"/>
    <col min="2886" max="2886" width="5.28515625" style="40" bestFit="1" customWidth="1"/>
    <col min="2887" max="3073" width="9.140625" style="40"/>
    <col min="3074" max="3074" width="2.28515625" style="40" customWidth="1"/>
    <col min="3075" max="3076" width="8.42578125" style="40" customWidth="1"/>
    <col min="3077" max="3077" width="13.5703125" style="40" customWidth="1"/>
    <col min="3078" max="3088" width="4.7109375" style="40" customWidth="1"/>
    <col min="3089" max="3089" width="3.85546875" style="40" customWidth="1"/>
    <col min="3090" max="3090" width="5" style="40" customWidth="1"/>
    <col min="3091" max="3091" width="3.5703125" style="40" customWidth="1"/>
    <col min="3092" max="3092" width="5.140625" style="40" customWidth="1"/>
    <col min="3093" max="3093" width="3.85546875" style="40" customWidth="1"/>
    <col min="3094" max="3094" width="4.7109375" style="40" customWidth="1"/>
    <col min="3095" max="3095" width="4.140625" style="40" customWidth="1"/>
    <col min="3096" max="3096" width="5" style="40" customWidth="1"/>
    <col min="3097" max="3097" width="4" style="40" customWidth="1"/>
    <col min="3098" max="3098" width="4.85546875" style="40" customWidth="1"/>
    <col min="3099" max="3099" width="4.42578125" style="40" bestFit="1" customWidth="1"/>
    <col min="3100" max="3121" width="0" style="40" hidden="1" customWidth="1"/>
    <col min="3122" max="3122" width="0.7109375" style="40" customWidth="1"/>
    <col min="3123" max="3123" width="12.85546875" style="40" bestFit="1" customWidth="1"/>
    <col min="3124" max="3124" width="7.7109375" style="40" bestFit="1" customWidth="1"/>
    <col min="3125" max="3125" width="10.85546875" style="40" bestFit="1" customWidth="1"/>
    <col min="3126" max="3127" width="6.5703125" style="40" bestFit="1" customWidth="1"/>
    <col min="3128" max="3128" width="4.5703125" style="40" bestFit="1" customWidth="1"/>
    <col min="3129" max="3129" width="7.7109375" style="40" bestFit="1" customWidth="1"/>
    <col min="3130" max="3130" width="6.5703125" style="40" bestFit="1" customWidth="1"/>
    <col min="3131" max="3131" width="6.140625" style="40" bestFit="1" customWidth="1"/>
    <col min="3132" max="3132" width="1" style="40" customWidth="1"/>
    <col min="3133" max="3133" width="4.85546875" style="40" bestFit="1" customWidth="1"/>
    <col min="3134" max="3134" width="7" style="40" customWidth="1"/>
    <col min="3135" max="3135" width="7.42578125" style="40" customWidth="1"/>
    <col min="3136" max="3136" width="7.28515625" style="40" customWidth="1"/>
    <col min="3137" max="3137" width="7.5703125" style="40" customWidth="1"/>
    <col min="3138" max="3138" width="13.5703125" style="40" bestFit="1" customWidth="1"/>
    <col min="3139" max="3139" width="24.140625" style="40" bestFit="1" customWidth="1"/>
    <col min="3140" max="3141" width="5.7109375" style="40" bestFit="1" customWidth="1"/>
    <col min="3142" max="3142" width="5.28515625" style="40" bestFit="1" customWidth="1"/>
    <col min="3143" max="3329" width="9.140625" style="40"/>
    <col min="3330" max="3330" width="2.28515625" style="40" customWidth="1"/>
    <col min="3331" max="3332" width="8.42578125" style="40" customWidth="1"/>
    <col min="3333" max="3333" width="13.5703125" style="40" customWidth="1"/>
    <col min="3334" max="3344" width="4.7109375" style="40" customWidth="1"/>
    <col min="3345" max="3345" width="3.85546875" style="40" customWidth="1"/>
    <col min="3346" max="3346" width="5" style="40" customWidth="1"/>
    <col min="3347" max="3347" width="3.5703125" style="40" customWidth="1"/>
    <col min="3348" max="3348" width="5.140625" style="40" customWidth="1"/>
    <col min="3349" max="3349" width="3.85546875" style="40" customWidth="1"/>
    <col min="3350" max="3350" width="4.7109375" style="40" customWidth="1"/>
    <col min="3351" max="3351" width="4.140625" style="40" customWidth="1"/>
    <col min="3352" max="3352" width="5" style="40" customWidth="1"/>
    <col min="3353" max="3353" width="4" style="40" customWidth="1"/>
    <col min="3354" max="3354" width="4.85546875" style="40" customWidth="1"/>
    <col min="3355" max="3355" width="4.42578125" style="40" bestFit="1" customWidth="1"/>
    <col min="3356" max="3377" width="0" style="40" hidden="1" customWidth="1"/>
    <col min="3378" max="3378" width="0.7109375" style="40" customWidth="1"/>
    <col min="3379" max="3379" width="12.85546875" style="40" bestFit="1" customWidth="1"/>
    <col min="3380" max="3380" width="7.7109375" style="40" bestFit="1" customWidth="1"/>
    <col min="3381" max="3381" width="10.85546875" style="40" bestFit="1" customWidth="1"/>
    <col min="3382" max="3383" width="6.5703125" style="40" bestFit="1" customWidth="1"/>
    <col min="3384" max="3384" width="4.5703125" style="40" bestFit="1" customWidth="1"/>
    <col min="3385" max="3385" width="7.7109375" style="40" bestFit="1" customWidth="1"/>
    <col min="3386" max="3386" width="6.5703125" style="40" bestFit="1" customWidth="1"/>
    <col min="3387" max="3387" width="6.140625" style="40" bestFit="1" customWidth="1"/>
    <col min="3388" max="3388" width="1" style="40" customWidth="1"/>
    <col min="3389" max="3389" width="4.85546875" style="40" bestFit="1" customWidth="1"/>
    <col min="3390" max="3390" width="7" style="40" customWidth="1"/>
    <col min="3391" max="3391" width="7.42578125" style="40" customWidth="1"/>
    <col min="3392" max="3392" width="7.28515625" style="40" customWidth="1"/>
    <col min="3393" max="3393" width="7.5703125" style="40" customWidth="1"/>
    <col min="3394" max="3394" width="13.5703125" style="40" bestFit="1" customWidth="1"/>
    <col min="3395" max="3395" width="24.140625" style="40" bestFit="1" customWidth="1"/>
    <col min="3396" max="3397" width="5.7109375" style="40" bestFit="1" customWidth="1"/>
    <col min="3398" max="3398" width="5.28515625" style="40" bestFit="1" customWidth="1"/>
    <col min="3399" max="3585" width="9.140625" style="40"/>
    <col min="3586" max="3586" width="2.28515625" style="40" customWidth="1"/>
    <col min="3587" max="3588" width="8.42578125" style="40" customWidth="1"/>
    <col min="3589" max="3589" width="13.5703125" style="40" customWidth="1"/>
    <col min="3590" max="3600" width="4.7109375" style="40" customWidth="1"/>
    <col min="3601" max="3601" width="3.85546875" style="40" customWidth="1"/>
    <col min="3602" max="3602" width="5" style="40" customWidth="1"/>
    <col min="3603" max="3603" width="3.5703125" style="40" customWidth="1"/>
    <col min="3604" max="3604" width="5.140625" style="40" customWidth="1"/>
    <col min="3605" max="3605" width="3.85546875" style="40" customWidth="1"/>
    <col min="3606" max="3606" width="4.7109375" style="40" customWidth="1"/>
    <col min="3607" max="3607" width="4.140625" style="40" customWidth="1"/>
    <col min="3608" max="3608" width="5" style="40" customWidth="1"/>
    <col min="3609" max="3609" width="4" style="40" customWidth="1"/>
    <col min="3610" max="3610" width="4.85546875" style="40" customWidth="1"/>
    <col min="3611" max="3611" width="4.42578125" style="40" bestFit="1" customWidth="1"/>
    <col min="3612" max="3633" width="0" style="40" hidden="1" customWidth="1"/>
    <col min="3634" max="3634" width="0.7109375" style="40" customWidth="1"/>
    <col min="3635" max="3635" width="12.85546875" style="40" bestFit="1" customWidth="1"/>
    <col min="3636" max="3636" width="7.7109375" style="40" bestFit="1" customWidth="1"/>
    <col min="3637" max="3637" width="10.85546875" style="40" bestFit="1" customWidth="1"/>
    <col min="3638" max="3639" width="6.5703125" style="40" bestFit="1" customWidth="1"/>
    <col min="3640" max="3640" width="4.5703125" style="40" bestFit="1" customWidth="1"/>
    <col min="3641" max="3641" width="7.7109375" style="40" bestFit="1" customWidth="1"/>
    <col min="3642" max="3642" width="6.5703125" style="40" bestFit="1" customWidth="1"/>
    <col min="3643" max="3643" width="6.140625" style="40" bestFit="1" customWidth="1"/>
    <col min="3644" max="3644" width="1" style="40" customWidth="1"/>
    <col min="3645" max="3645" width="4.85546875" style="40" bestFit="1" customWidth="1"/>
    <col min="3646" max="3646" width="7" style="40" customWidth="1"/>
    <col min="3647" max="3647" width="7.42578125" style="40" customWidth="1"/>
    <col min="3648" max="3648" width="7.28515625" style="40" customWidth="1"/>
    <col min="3649" max="3649" width="7.5703125" style="40" customWidth="1"/>
    <col min="3650" max="3650" width="13.5703125" style="40" bestFit="1" customWidth="1"/>
    <col min="3651" max="3651" width="24.140625" style="40" bestFit="1" customWidth="1"/>
    <col min="3652" max="3653" width="5.7109375" style="40" bestFit="1" customWidth="1"/>
    <col min="3654" max="3654" width="5.28515625" style="40" bestFit="1" customWidth="1"/>
    <col min="3655" max="3841" width="9.140625" style="40"/>
    <col min="3842" max="3842" width="2.28515625" style="40" customWidth="1"/>
    <col min="3843" max="3844" width="8.42578125" style="40" customWidth="1"/>
    <col min="3845" max="3845" width="13.5703125" style="40" customWidth="1"/>
    <col min="3846" max="3856" width="4.7109375" style="40" customWidth="1"/>
    <col min="3857" max="3857" width="3.85546875" style="40" customWidth="1"/>
    <col min="3858" max="3858" width="5" style="40" customWidth="1"/>
    <col min="3859" max="3859" width="3.5703125" style="40" customWidth="1"/>
    <col min="3860" max="3860" width="5.140625" style="40" customWidth="1"/>
    <col min="3861" max="3861" width="3.85546875" style="40" customWidth="1"/>
    <col min="3862" max="3862" width="4.7109375" style="40" customWidth="1"/>
    <col min="3863" max="3863" width="4.140625" style="40" customWidth="1"/>
    <col min="3864" max="3864" width="5" style="40" customWidth="1"/>
    <col min="3865" max="3865" width="4" style="40" customWidth="1"/>
    <col min="3866" max="3866" width="4.85546875" style="40" customWidth="1"/>
    <col min="3867" max="3867" width="4.42578125" style="40" bestFit="1" customWidth="1"/>
    <col min="3868" max="3889" width="0" style="40" hidden="1" customWidth="1"/>
    <col min="3890" max="3890" width="0.7109375" style="40" customWidth="1"/>
    <col min="3891" max="3891" width="12.85546875" style="40" bestFit="1" customWidth="1"/>
    <col min="3892" max="3892" width="7.7109375" style="40" bestFit="1" customWidth="1"/>
    <col min="3893" max="3893" width="10.85546875" style="40" bestFit="1" customWidth="1"/>
    <col min="3894" max="3895" width="6.5703125" style="40" bestFit="1" customWidth="1"/>
    <col min="3896" max="3896" width="4.5703125" style="40" bestFit="1" customWidth="1"/>
    <col min="3897" max="3897" width="7.7109375" style="40" bestFit="1" customWidth="1"/>
    <col min="3898" max="3898" width="6.5703125" style="40" bestFit="1" customWidth="1"/>
    <col min="3899" max="3899" width="6.140625" style="40" bestFit="1" customWidth="1"/>
    <col min="3900" max="3900" width="1" style="40" customWidth="1"/>
    <col min="3901" max="3901" width="4.85546875" style="40" bestFit="1" customWidth="1"/>
    <col min="3902" max="3902" width="7" style="40" customWidth="1"/>
    <col min="3903" max="3903" width="7.42578125" style="40" customWidth="1"/>
    <col min="3904" max="3904" width="7.28515625" style="40" customWidth="1"/>
    <col min="3905" max="3905" width="7.5703125" style="40" customWidth="1"/>
    <col min="3906" max="3906" width="13.5703125" style="40" bestFit="1" customWidth="1"/>
    <col min="3907" max="3907" width="24.140625" style="40" bestFit="1" customWidth="1"/>
    <col min="3908" max="3909" width="5.7109375" style="40" bestFit="1" customWidth="1"/>
    <col min="3910" max="3910" width="5.28515625" style="40" bestFit="1" customWidth="1"/>
    <col min="3911" max="4097" width="9.140625" style="40"/>
    <col min="4098" max="4098" width="2.28515625" style="40" customWidth="1"/>
    <col min="4099" max="4100" width="8.42578125" style="40" customWidth="1"/>
    <col min="4101" max="4101" width="13.5703125" style="40" customWidth="1"/>
    <col min="4102" max="4112" width="4.7109375" style="40" customWidth="1"/>
    <col min="4113" max="4113" width="3.85546875" style="40" customWidth="1"/>
    <col min="4114" max="4114" width="5" style="40" customWidth="1"/>
    <col min="4115" max="4115" width="3.5703125" style="40" customWidth="1"/>
    <col min="4116" max="4116" width="5.140625" style="40" customWidth="1"/>
    <col min="4117" max="4117" width="3.85546875" style="40" customWidth="1"/>
    <col min="4118" max="4118" width="4.7109375" style="40" customWidth="1"/>
    <col min="4119" max="4119" width="4.140625" style="40" customWidth="1"/>
    <col min="4120" max="4120" width="5" style="40" customWidth="1"/>
    <col min="4121" max="4121" width="4" style="40" customWidth="1"/>
    <col min="4122" max="4122" width="4.85546875" style="40" customWidth="1"/>
    <col min="4123" max="4123" width="4.42578125" style="40" bestFit="1" customWidth="1"/>
    <col min="4124" max="4145" width="0" style="40" hidden="1" customWidth="1"/>
    <col min="4146" max="4146" width="0.7109375" style="40" customWidth="1"/>
    <col min="4147" max="4147" width="12.85546875" style="40" bestFit="1" customWidth="1"/>
    <col min="4148" max="4148" width="7.7109375" style="40" bestFit="1" customWidth="1"/>
    <col min="4149" max="4149" width="10.85546875" style="40" bestFit="1" customWidth="1"/>
    <col min="4150" max="4151" width="6.5703125" style="40" bestFit="1" customWidth="1"/>
    <col min="4152" max="4152" width="4.5703125" style="40" bestFit="1" customWidth="1"/>
    <col min="4153" max="4153" width="7.7109375" style="40" bestFit="1" customWidth="1"/>
    <col min="4154" max="4154" width="6.5703125" style="40" bestFit="1" customWidth="1"/>
    <col min="4155" max="4155" width="6.140625" style="40" bestFit="1" customWidth="1"/>
    <col min="4156" max="4156" width="1" style="40" customWidth="1"/>
    <col min="4157" max="4157" width="4.85546875" style="40" bestFit="1" customWidth="1"/>
    <col min="4158" max="4158" width="7" style="40" customWidth="1"/>
    <col min="4159" max="4159" width="7.42578125" style="40" customWidth="1"/>
    <col min="4160" max="4160" width="7.28515625" style="40" customWidth="1"/>
    <col min="4161" max="4161" width="7.5703125" style="40" customWidth="1"/>
    <col min="4162" max="4162" width="13.5703125" style="40" bestFit="1" customWidth="1"/>
    <col min="4163" max="4163" width="24.140625" style="40" bestFit="1" customWidth="1"/>
    <col min="4164" max="4165" width="5.7109375" style="40" bestFit="1" customWidth="1"/>
    <col min="4166" max="4166" width="5.28515625" style="40" bestFit="1" customWidth="1"/>
    <col min="4167" max="4353" width="9.140625" style="40"/>
    <col min="4354" max="4354" width="2.28515625" style="40" customWidth="1"/>
    <col min="4355" max="4356" width="8.42578125" style="40" customWidth="1"/>
    <col min="4357" max="4357" width="13.5703125" style="40" customWidth="1"/>
    <col min="4358" max="4368" width="4.7109375" style="40" customWidth="1"/>
    <col min="4369" max="4369" width="3.85546875" style="40" customWidth="1"/>
    <col min="4370" max="4370" width="5" style="40" customWidth="1"/>
    <col min="4371" max="4371" width="3.5703125" style="40" customWidth="1"/>
    <col min="4372" max="4372" width="5.140625" style="40" customWidth="1"/>
    <col min="4373" max="4373" width="3.85546875" style="40" customWidth="1"/>
    <col min="4374" max="4374" width="4.7109375" style="40" customWidth="1"/>
    <col min="4375" max="4375" width="4.140625" style="40" customWidth="1"/>
    <col min="4376" max="4376" width="5" style="40" customWidth="1"/>
    <col min="4377" max="4377" width="4" style="40" customWidth="1"/>
    <col min="4378" max="4378" width="4.85546875" style="40" customWidth="1"/>
    <col min="4379" max="4379" width="4.42578125" style="40" bestFit="1" customWidth="1"/>
    <col min="4380" max="4401" width="0" style="40" hidden="1" customWidth="1"/>
    <col min="4402" max="4402" width="0.7109375" style="40" customWidth="1"/>
    <col min="4403" max="4403" width="12.85546875" style="40" bestFit="1" customWidth="1"/>
    <col min="4404" max="4404" width="7.7109375" style="40" bestFit="1" customWidth="1"/>
    <col min="4405" max="4405" width="10.85546875" style="40" bestFit="1" customWidth="1"/>
    <col min="4406" max="4407" width="6.5703125" style="40" bestFit="1" customWidth="1"/>
    <col min="4408" max="4408" width="4.5703125" style="40" bestFit="1" customWidth="1"/>
    <col min="4409" max="4409" width="7.7109375" style="40" bestFit="1" customWidth="1"/>
    <col min="4410" max="4410" width="6.5703125" style="40" bestFit="1" customWidth="1"/>
    <col min="4411" max="4411" width="6.140625" style="40" bestFit="1" customWidth="1"/>
    <col min="4412" max="4412" width="1" style="40" customWidth="1"/>
    <col min="4413" max="4413" width="4.85546875" style="40" bestFit="1" customWidth="1"/>
    <col min="4414" max="4414" width="7" style="40" customWidth="1"/>
    <col min="4415" max="4415" width="7.42578125" style="40" customWidth="1"/>
    <col min="4416" max="4416" width="7.28515625" style="40" customWidth="1"/>
    <col min="4417" max="4417" width="7.5703125" style="40" customWidth="1"/>
    <col min="4418" max="4418" width="13.5703125" style="40" bestFit="1" customWidth="1"/>
    <col min="4419" max="4419" width="24.140625" style="40" bestFit="1" customWidth="1"/>
    <col min="4420" max="4421" width="5.7109375" style="40" bestFit="1" customWidth="1"/>
    <col min="4422" max="4422" width="5.28515625" style="40" bestFit="1" customWidth="1"/>
    <col min="4423" max="4609" width="9.140625" style="40"/>
    <col min="4610" max="4610" width="2.28515625" style="40" customWidth="1"/>
    <col min="4611" max="4612" width="8.42578125" style="40" customWidth="1"/>
    <col min="4613" max="4613" width="13.5703125" style="40" customWidth="1"/>
    <col min="4614" max="4624" width="4.7109375" style="40" customWidth="1"/>
    <col min="4625" max="4625" width="3.85546875" style="40" customWidth="1"/>
    <col min="4626" max="4626" width="5" style="40" customWidth="1"/>
    <col min="4627" max="4627" width="3.5703125" style="40" customWidth="1"/>
    <col min="4628" max="4628" width="5.140625" style="40" customWidth="1"/>
    <col min="4629" max="4629" width="3.85546875" style="40" customWidth="1"/>
    <col min="4630" max="4630" width="4.7109375" style="40" customWidth="1"/>
    <col min="4631" max="4631" width="4.140625" style="40" customWidth="1"/>
    <col min="4632" max="4632" width="5" style="40" customWidth="1"/>
    <col min="4633" max="4633" width="4" style="40" customWidth="1"/>
    <col min="4634" max="4634" width="4.85546875" style="40" customWidth="1"/>
    <col min="4635" max="4635" width="4.42578125" style="40" bestFit="1" customWidth="1"/>
    <col min="4636" max="4657" width="0" style="40" hidden="1" customWidth="1"/>
    <col min="4658" max="4658" width="0.7109375" style="40" customWidth="1"/>
    <col min="4659" max="4659" width="12.85546875" style="40" bestFit="1" customWidth="1"/>
    <col min="4660" max="4660" width="7.7109375" style="40" bestFit="1" customWidth="1"/>
    <col min="4661" max="4661" width="10.85546875" style="40" bestFit="1" customWidth="1"/>
    <col min="4662" max="4663" width="6.5703125" style="40" bestFit="1" customWidth="1"/>
    <col min="4664" max="4664" width="4.5703125" style="40" bestFit="1" customWidth="1"/>
    <col min="4665" max="4665" width="7.7109375" style="40" bestFit="1" customWidth="1"/>
    <col min="4666" max="4666" width="6.5703125" style="40" bestFit="1" customWidth="1"/>
    <col min="4667" max="4667" width="6.140625" style="40" bestFit="1" customWidth="1"/>
    <col min="4668" max="4668" width="1" style="40" customWidth="1"/>
    <col min="4669" max="4669" width="4.85546875" style="40" bestFit="1" customWidth="1"/>
    <col min="4670" max="4670" width="7" style="40" customWidth="1"/>
    <col min="4671" max="4671" width="7.42578125" style="40" customWidth="1"/>
    <col min="4672" max="4672" width="7.28515625" style="40" customWidth="1"/>
    <col min="4673" max="4673" width="7.5703125" style="40" customWidth="1"/>
    <col min="4674" max="4674" width="13.5703125" style="40" bestFit="1" customWidth="1"/>
    <col min="4675" max="4675" width="24.140625" style="40" bestFit="1" customWidth="1"/>
    <col min="4676" max="4677" width="5.7109375" style="40" bestFit="1" customWidth="1"/>
    <col min="4678" max="4678" width="5.28515625" style="40" bestFit="1" customWidth="1"/>
    <col min="4679" max="4865" width="9.140625" style="40"/>
    <col min="4866" max="4866" width="2.28515625" style="40" customWidth="1"/>
    <col min="4867" max="4868" width="8.42578125" style="40" customWidth="1"/>
    <col min="4869" max="4869" width="13.5703125" style="40" customWidth="1"/>
    <col min="4870" max="4880" width="4.7109375" style="40" customWidth="1"/>
    <col min="4881" max="4881" width="3.85546875" style="40" customWidth="1"/>
    <col min="4882" max="4882" width="5" style="40" customWidth="1"/>
    <col min="4883" max="4883" width="3.5703125" style="40" customWidth="1"/>
    <col min="4884" max="4884" width="5.140625" style="40" customWidth="1"/>
    <col min="4885" max="4885" width="3.85546875" style="40" customWidth="1"/>
    <col min="4886" max="4886" width="4.7109375" style="40" customWidth="1"/>
    <col min="4887" max="4887" width="4.140625" style="40" customWidth="1"/>
    <col min="4888" max="4888" width="5" style="40" customWidth="1"/>
    <col min="4889" max="4889" width="4" style="40" customWidth="1"/>
    <col min="4890" max="4890" width="4.85546875" style="40" customWidth="1"/>
    <col min="4891" max="4891" width="4.42578125" style="40" bestFit="1" customWidth="1"/>
    <col min="4892" max="4913" width="0" style="40" hidden="1" customWidth="1"/>
    <col min="4914" max="4914" width="0.7109375" style="40" customWidth="1"/>
    <col min="4915" max="4915" width="12.85546875" style="40" bestFit="1" customWidth="1"/>
    <col min="4916" max="4916" width="7.7109375" style="40" bestFit="1" customWidth="1"/>
    <col min="4917" max="4917" width="10.85546875" style="40" bestFit="1" customWidth="1"/>
    <col min="4918" max="4919" width="6.5703125" style="40" bestFit="1" customWidth="1"/>
    <col min="4920" max="4920" width="4.5703125" style="40" bestFit="1" customWidth="1"/>
    <col min="4921" max="4921" width="7.7109375" style="40" bestFit="1" customWidth="1"/>
    <col min="4922" max="4922" width="6.5703125" style="40" bestFit="1" customWidth="1"/>
    <col min="4923" max="4923" width="6.140625" style="40" bestFit="1" customWidth="1"/>
    <col min="4924" max="4924" width="1" style="40" customWidth="1"/>
    <col min="4925" max="4925" width="4.85546875" style="40" bestFit="1" customWidth="1"/>
    <col min="4926" max="4926" width="7" style="40" customWidth="1"/>
    <col min="4927" max="4927" width="7.42578125" style="40" customWidth="1"/>
    <col min="4928" max="4928" width="7.28515625" style="40" customWidth="1"/>
    <col min="4929" max="4929" width="7.5703125" style="40" customWidth="1"/>
    <col min="4930" max="4930" width="13.5703125" style="40" bestFit="1" customWidth="1"/>
    <col min="4931" max="4931" width="24.140625" style="40" bestFit="1" customWidth="1"/>
    <col min="4932" max="4933" width="5.7109375" style="40" bestFit="1" customWidth="1"/>
    <col min="4934" max="4934" width="5.28515625" style="40" bestFit="1" customWidth="1"/>
    <col min="4935" max="5121" width="9.140625" style="40"/>
    <col min="5122" max="5122" width="2.28515625" style="40" customWidth="1"/>
    <col min="5123" max="5124" width="8.42578125" style="40" customWidth="1"/>
    <col min="5125" max="5125" width="13.5703125" style="40" customWidth="1"/>
    <col min="5126" max="5136" width="4.7109375" style="40" customWidth="1"/>
    <col min="5137" max="5137" width="3.85546875" style="40" customWidth="1"/>
    <col min="5138" max="5138" width="5" style="40" customWidth="1"/>
    <col min="5139" max="5139" width="3.5703125" style="40" customWidth="1"/>
    <col min="5140" max="5140" width="5.140625" style="40" customWidth="1"/>
    <col min="5141" max="5141" width="3.85546875" style="40" customWidth="1"/>
    <col min="5142" max="5142" width="4.7109375" style="40" customWidth="1"/>
    <col min="5143" max="5143" width="4.140625" style="40" customWidth="1"/>
    <col min="5144" max="5144" width="5" style="40" customWidth="1"/>
    <col min="5145" max="5145" width="4" style="40" customWidth="1"/>
    <col min="5146" max="5146" width="4.85546875" style="40" customWidth="1"/>
    <col min="5147" max="5147" width="4.42578125" style="40" bestFit="1" customWidth="1"/>
    <col min="5148" max="5169" width="0" style="40" hidden="1" customWidth="1"/>
    <col min="5170" max="5170" width="0.7109375" style="40" customWidth="1"/>
    <col min="5171" max="5171" width="12.85546875" style="40" bestFit="1" customWidth="1"/>
    <col min="5172" max="5172" width="7.7109375" style="40" bestFit="1" customWidth="1"/>
    <col min="5173" max="5173" width="10.85546875" style="40" bestFit="1" customWidth="1"/>
    <col min="5174" max="5175" width="6.5703125" style="40" bestFit="1" customWidth="1"/>
    <col min="5176" max="5176" width="4.5703125" style="40" bestFit="1" customWidth="1"/>
    <col min="5177" max="5177" width="7.7109375" style="40" bestFit="1" customWidth="1"/>
    <col min="5178" max="5178" width="6.5703125" style="40" bestFit="1" customWidth="1"/>
    <col min="5179" max="5179" width="6.140625" style="40" bestFit="1" customWidth="1"/>
    <col min="5180" max="5180" width="1" style="40" customWidth="1"/>
    <col min="5181" max="5181" width="4.85546875" style="40" bestFit="1" customWidth="1"/>
    <col min="5182" max="5182" width="7" style="40" customWidth="1"/>
    <col min="5183" max="5183" width="7.42578125" style="40" customWidth="1"/>
    <col min="5184" max="5184" width="7.28515625" style="40" customWidth="1"/>
    <col min="5185" max="5185" width="7.5703125" style="40" customWidth="1"/>
    <col min="5186" max="5186" width="13.5703125" style="40" bestFit="1" customWidth="1"/>
    <col min="5187" max="5187" width="24.140625" style="40" bestFit="1" customWidth="1"/>
    <col min="5188" max="5189" width="5.7109375" style="40" bestFit="1" customWidth="1"/>
    <col min="5190" max="5190" width="5.28515625" style="40" bestFit="1" customWidth="1"/>
    <col min="5191" max="5377" width="9.140625" style="40"/>
    <col min="5378" max="5378" width="2.28515625" style="40" customWidth="1"/>
    <col min="5379" max="5380" width="8.42578125" style="40" customWidth="1"/>
    <col min="5381" max="5381" width="13.5703125" style="40" customWidth="1"/>
    <col min="5382" max="5392" width="4.7109375" style="40" customWidth="1"/>
    <col min="5393" max="5393" width="3.85546875" style="40" customWidth="1"/>
    <col min="5394" max="5394" width="5" style="40" customWidth="1"/>
    <col min="5395" max="5395" width="3.5703125" style="40" customWidth="1"/>
    <col min="5396" max="5396" width="5.140625" style="40" customWidth="1"/>
    <col min="5397" max="5397" width="3.85546875" style="40" customWidth="1"/>
    <col min="5398" max="5398" width="4.7109375" style="40" customWidth="1"/>
    <col min="5399" max="5399" width="4.140625" style="40" customWidth="1"/>
    <col min="5400" max="5400" width="5" style="40" customWidth="1"/>
    <col min="5401" max="5401" width="4" style="40" customWidth="1"/>
    <col min="5402" max="5402" width="4.85546875" style="40" customWidth="1"/>
    <col min="5403" max="5403" width="4.42578125" style="40" bestFit="1" customWidth="1"/>
    <col min="5404" max="5425" width="0" style="40" hidden="1" customWidth="1"/>
    <col min="5426" max="5426" width="0.7109375" style="40" customWidth="1"/>
    <col min="5427" max="5427" width="12.85546875" style="40" bestFit="1" customWidth="1"/>
    <col min="5428" max="5428" width="7.7109375" style="40" bestFit="1" customWidth="1"/>
    <col min="5429" max="5429" width="10.85546875" style="40" bestFit="1" customWidth="1"/>
    <col min="5430" max="5431" width="6.5703125" style="40" bestFit="1" customWidth="1"/>
    <col min="5432" max="5432" width="4.5703125" style="40" bestFit="1" customWidth="1"/>
    <col min="5433" max="5433" width="7.7109375" style="40" bestFit="1" customWidth="1"/>
    <col min="5434" max="5434" width="6.5703125" style="40" bestFit="1" customWidth="1"/>
    <col min="5435" max="5435" width="6.140625" style="40" bestFit="1" customWidth="1"/>
    <col min="5436" max="5436" width="1" style="40" customWidth="1"/>
    <col min="5437" max="5437" width="4.85546875" style="40" bestFit="1" customWidth="1"/>
    <col min="5438" max="5438" width="7" style="40" customWidth="1"/>
    <col min="5439" max="5439" width="7.42578125" style="40" customWidth="1"/>
    <col min="5440" max="5440" width="7.28515625" style="40" customWidth="1"/>
    <col min="5441" max="5441" width="7.5703125" style="40" customWidth="1"/>
    <col min="5442" max="5442" width="13.5703125" style="40" bestFit="1" customWidth="1"/>
    <col min="5443" max="5443" width="24.140625" style="40" bestFit="1" customWidth="1"/>
    <col min="5444" max="5445" width="5.7109375" style="40" bestFit="1" customWidth="1"/>
    <col min="5446" max="5446" width="5.28515625" style="40" bestFit="1" customWidth="1"/>
    <col min="5447" max="5633" width="9.140625" style="40"/>
    <col min="5634" max="5634" width="2.28515625" style="40" customWidth="1"/>
    <col min="5635" max="5636" width="8.42578125" style="40" customWidth="1"/>
    <col min="5637" max="5637" width="13.5703125" style="40" customWidth="1"/>
    <col min="5638" max="5648" width="4.7109375" style="40" customWidth="1"/>
    <col min="5649" max="5649" width="3.85546875" style="40" customWidth="1"/>
    <col min="5650" max="5650" width="5" style="40" customWidth="1"/>
    <col min="5651" max="5651" width="3.5703125" style="40" customWidth="1"/>
    <col min="5652" max="5652" width="5.140625" style="40" customWidth="1"/>
    <col min="5653" max="5653" width="3.85546875" style="40" customWidth="1"/>
    <col min="5654" max="5654" width="4.7109375" style="40" customWidth="1"/>
    <col min="5655" max="5655" width="4.140625" style="40" customWidth="1"/>
    <col min="5656" max="5656" width="5" style="40" customWidth="1"/>
    <col min="5657" max="5657" width="4" style="40" customWidth="1"/>
    <col min="5658" max="5658" width="4.85546875" style="40" customWidth="1"/>
    <col min="5659" max="5659" width="4.42578125" style="40" bestFit="1" customWidth="1"/>
    <col min="5660" max="5681" width="0" style="40" hidden="1" customWidth="1"/>
    <col min="5682" max="5682" width="0.7109375" style="40" customWidth="1"/>
    <col min="5683" max="5683" width="12.85546875" style="40" bestFit="1" customWidth="1"/>
    <col min="5684" max="5684" width="7.7109375" style="40" bestFit="1" customWidth="1"/>
    <col min="5685" max="5685" width="10.85546875" style="40" bestFit="1" customWidth="1"/>
    <col min="5686" max="5687" width="6.5703125" style="40" bestFit="1" customWidth="1"/>
    <col min="5688" max="5688" width="4.5703125" style="40" bestFit="1" customWidth="1"/>
    <col min="5689" max="5689" width="7.7109375" style="40" bestFit="1" customWidth="1"/>
    <col min="5690" max="5690" width="6.5703125" style="40" bestFit="1" customWidth="1"/>
    <col min="5691" max="5691" width="6.140625" style="40" bestFit="1" customWidth="1"/>
    <col min="5692" max="5692" width="1" style="40" customWidth="1"/>
    <col min="5693" max="5693" width="4.85546875" style="40" bestFit="1" customWidth="1"/>
    <col min="5694" max="5694" width="7" style="40" customWidth="1"/>
    <col min="5695" max="5695" width="7.42578125" style="40" customWidth="1"/>
    <col min="5696" max="5696" width="7.28515625" style="40" customWidth="1"/>
    <col min="5697" max="5697" width="7.5703125" style="40" customWidth="1"/>
    <col min="5698" max="5698" width="13.5703125" style="40" bestFit="1" customWidth="1"/>
    <col min="5699" max="5699" width="24.140625" style="40" bestFit="1" customWidth="1"/>
    <col min="5700" max="5701" width="5.7109375" style="40" bestFit="1" customWidth="1"/>
    <col min="5702" max="5702" width="5.28515625" style="40" bestFit="1" customWidth="1"/>
    <col min="5703" max="5889" width="9.140625" style="40"/>
    <col min="5890" max="5890" width="2.28515625" style="40" customWidth="1"/>
    <col min="5891" max="5892" width="8.42578125" style="40" customWidth="1"/>
    <col min="5893" max="5893" width="13.5703125" style="40" customWidth="1"/>
    <col min="5894" max="5904" width="4.7109375" style="40" customWidth="1"/>
    <col min="5905" max="5905" width="3.85546875" style="40" customWidth="1"/>
    <col min="5906" max="5906" width="5" style="40" customWidth="1"/>
    <col min="5907" max="5907" width="3.5703125" style="40" customWidth="1"/>
    <col min="5908" max="5908" width="5.140625" style="40" customWidth="1"/>
    <col min="5909" max="5909" width="3.85546875" style="40" customWidth="1"/>
    <col min="5910" max="5910" width="4.7109375" style="40" customWidth="1"/>
    <col min="5911" max="5911" width="4.140625" style="40" customWidth="1"/>
    <col min="5912" max="5912" width="5" style="40" customWidth="1"/>
    <col min="5913" max="5913" width="4" style="40" customWidth="1"/>
    <col min="5914" max="5914" width="4.85546875" style="40" customWidth="1"/>
    <col min="5915" max="5915" width="4.42578125" style="40" bestFit="1" customWidth="1"/>
    <col min="5916" max="5937" width="0" style="40" hidden="1" customWidth="1"/>
    <col min="5938" max="5938" width="0.7109375" style="40" customWidth="1"/>
    <col min="5939" max="5939" width="12.85546875" style="40" bestFit="1" customWidth="1"/>
    <col min="5940" max="5940" width="7.7109375" style="40" bestFit="1" customWidth="1"/>
    <col min="5941" max="5941" width="10.85546875" style="40" bestFit="1" customWidth="1"/>
    <col min="5942" max="5943" width="6.5703125" style="40" bestFit="1" customWidth="1"/>
    <col min="5944" max="5944" width="4.5703125" style="40" bestFit="1" customWidth="1"/>
    <col min="5945" max="5945" width="7.7109375" style="40" bestFit="1" customWidth="1"/>
    <col min="5946" max="5946" width="6.5703125" style="40" bestFit="1" customWidth="1"/>
    <col min="5947" max="5947" width="6.140625" style="40" bestFit="1" customWidth="1"/>
    <col min="5948" max="5948" width="1" style="40" customWidth="1"/>
    <col min="5949" max="5949" width="4.85546875" style="40" bestFit="1" customWidth="1"/>
    <col min="5950" max="5950" width="7" style="40" customWidth="1"/>
    <col min="5951" max="5951" width="7.42578125" style="40" customWidth="1"/>
    <col min="5952" max="5952" width="7.28515625" style="40" customWidth="1"/>
    <col min="5953" max="5953" width="7.5703125" style="40" customWidth="1"/>
    <col min="5954" max="5954" width="13.5703125" style="40" bestFit="1" customWidth="1"/>
    <col min="5955" max="5955" width="24.140625" style="40" bestFit="1" customWidth="1"/>
    <col min="5956" max="5957" width="5.7109375" style="40" bestFit="1" customWidth="1"/>
    <col min="5958" max="5958" width="5.28515625" style="40" bestFit="1" customWidth="1"/>
    <col min="5959" max="6145" width="9.140625" style="40"/>
    <col min="6146" max="6146" width="2.28515625" style="40" customWidth="1"/>
    <col min="6147" max="6148" width="8.42578125" style="40" customWidth="1"/>
    <col min="6149" max="6149" width="13.5703125" style="40" customWidth="1"/>
    <col min="6150" max="6160" width="4.7109375" style="40" customWidth="1"/>
    <col min="6161" max="6161" width="3.85546875" style="40" customWidth="1"/>
    <col min="6162" max="6162" width="5" style="40" customWidth="1"/>
    <col min="6163" max="6163" width="3.5703125" style="40" customWidth="1"/>
    <col min="6164" max="6164" width="5.140625" style="40" customWidth="1"/>
    <col min="6165" max="6165" width="3.85546875" style="40" customWidth="1"/>
    <col min="6166" max="6166" width="4.7109375" style="40" customWidth="1"/>
    <col min="6167" max="6167" width="4.140625" style="40" customWidth="1"/>
    <col min="6168" max="6168" width="5" style="40" customWidth="1"/>
    <col min="6169" max="6169" width="4" style="40" customWidth="1"/>
    <col min="6170" max="6170" width="4.85546875" style="40" customWidth="1"/>
    <col min="6171" max="6171" width="4.42578125" style="40" bestFit="1" customWidth="1"/>
    <col min="6172" max="6193" width="0" style="40" hidden="1" customWidth="1"/>
    <col min="6194" max="6194" width="0.7109375" style="40" customWidth="1"/>
    <col min="6195" max="6195" width="12.85546875" style="40" bestFit="1" customWidth="1"/>
    <col min="6196" max="6196" width="7.7109375" style="40" bestFit="1" customWidth="1"/>
    <col min="6197" max="6197" width="10.85546875" style="40" bestFit="1" customWidth="1"/>
    <col min="6198" max="6199" width="6.5703125" style="40" bestFit="1" customWidth="1"/>
    <col min="6200" max="6200" width="4.5703125" style="40" bestFit="1" customWidth="1"/>
    <col min="6201" max="6201" width="7.7109375" style="40" bestFit="1" customWidth="1"/>
    <col min="6202" max="6202" width="6.5703125" style="40" bestFit="1" customWidth="1"/>
    <col min="6203" max="6203" width="6.140625" style="40" bestFit="1" customWidth="1"/>
    <col min="6204" max="6204" width="1" style="40" customWidth="1"/>
    <col min="6205" max="6205" width="4.85546875" style="40" bestFit="1" customWidth="1"/>
    <col min="6206" max="6206" width="7" style="40" customWidth="1"/>
    <col min="6207" max="6207" width="7.42578125" style="40" customWidth="1"/>
    <col min="6208" max="6208" width="7.28515625" style="40" customWidth="1"/>
    <col min="6209" max="6209" width="7.5703125" style="40" customWidth="1"/>
    <col min="6210" max="6210" width="13.5703125" style="40" bestFit="1" customWidth="1"/>
    <col min="6211" max="6211" width="24.140625" style="40" bestFit="1" customWidth="1"/>
    <col min="6212" max="6213" width="5.7109375" style="40" bestFit="1" customWidth="1"/>
    <col min="6214" max="6214" width="5.28515625" style="40" bestFit="1" customWidth="1"/>
    <col min="6215" max="6401" width="9.140625" style="40"/>
    <col min="6402" max="6402" width="2.28515625" style="40" customWidth="1"/>
    <col min="6403" max="6404" width="8.42578125" style="40" customWidth="1"/>
    <col min="6405" max="6405" width="13.5703125" style="40" customWidth="1"/>
    <col min="6406" max="6416" width="4.7109375" style="40" customWidth="1"/>
    <col min="6417" max="6417" width="3.85546875" style="40" customWidth="1"/>
    <col min="6418" max="6418" width="5" style="40" customWidth="1"/>
    <col min="6419" max="6419" width="3.5703125" style="40" customWidth="1"/>
    <col min="6420" max="6420" width="5.140625" style="40" customWidth="1"/>
    <col min="6421" max="6421" width="3.85546875" style="40" customWidth="1"/>
    <col min="6422" max="6422" width="4.7109375" style="40" customWidth="1"/>
    <col min="6423" max="6423" width="4.140625" style="40" customWidth="1"/>
    <col min="6424" max="6424" width="5" style="40" customWidth="1"/>
    <col min="6425" max="6425" width="4" style="40" customWidth="1"/>
    <col min="6426" max="6426" width="4.85546875" style="40" customWidth="1"/>
    <col min="6427" max="6427" width="4.42578125" style="40" bestFit="1" customWidth="1"/>
    <col min="6428" max="6449" width="0" style="40" hidden="1" customWidth="1"/>
    <col min="6450" max="6450" width="0.7109375" style="40" customWidth="1"/>
    <col min="6451" max="6451" width="12.85546875" style="40" bestFit="1" customWidth="1"/>
    <col min="6452" max="6452" width="7.7109375" style="40" bestFit="1" customWidth="1"/>
    <col min="6453" max="6453" width="10.85546875" style="40" bestFit="1" customWidth="1"/>
    <col min="6454" max="6455" width="6.5703125" style="40" bestFit="1" customWidth="1"/>
    <col min="6456" max="6456" width="4.5703125" style="40" bestFit="1" customWidth="1"/>
    <col min="6457" max="6457" width="7.7109375" style="40" bestFit="1" customWidth="1"/>
    <col min="6458" max="6458" width="6.5703125" style="40" bestFit="1" customWidth="1"/>
    <col min="6459" max="6459" width="6.140625" style="40" bestFit="1" customWidth="1"/>
    <col min="6460" max="6460" width="1" style="40" customWidth="1"/>
    <col min="6461" max="6461" width="4.85546875" style="40" bestFit="1" customWidth="1"/>
    <col min="6462" max="6462" width="7" style="40" customWidth="1"/>
    <col min="6463" max="6463" width="7.42578125" style="40" customWidth="1"/>
    <col min="6464" max="6464" width="7.28515625" style="40" customWidth="1"/>
    <col min="6465" max="6465" width="7.5703125" style="40" customWidth="1"/>
    <col min="6466" max="6466" width="13.5703125" style="40" bestFit="1" customWidth="1"/>
    <col min="6467" max="6467" width="24.140625" style="40" bestFit="1" customWidth="1"/>
    <col min="6468" max="6469" width="5.7109375" style="40" bestFit="1" customWidth="1"/>
    <col min="6470" max="6470" width="5.28515625" style="40" bestFit="1" customWidth="1"/>
    <col min="6471" max="6657" width="9.140625" style="40"/>
    <col min="6658" max="6658" width="2.28515625" style="40" customWidth="1"/>
    <col min="6659" max="6660" width="8.42578125" style="40" customWidth="1"/>
    <col min="6661" max="6661" width="13.5703125" style="40" customWidth="1"/>
    <col min="6662" max="6672" width="4.7109375" style="40" customWidth="1"/>
    <col min="6673" max="6673" width="3.85546875" style="40" customWidth="1"/>
    <col min="6674" max="6674" width="5" style="40" customWidth="1"/>
    <col min="6675" max="6675" width="3.5703125" style="40" customWidth="1"/>
    <col min="6676" max="6676" width="5.140625" style="40" customWidth="1"/>
    <col min="6677" max="6677" width="3.85546875" style="40" customWidth="1"/>
    <col min="6678" max="6678" width="4.7109375" style="40" customWidth="1"/>
    <col min="6679" max="6679" width="4.140625" style="40" customWidth="1"/>
    <col min="6680" max="6680" width="5" style="40" customWidth="1"/>
    <col min="6681" max="6681" width="4" style="40" customWidth="1"/>
    <col min="6682" max="6682" width="4.85546875" style="40" customWidth="1"/>
    <col min="6683" max="6683" width="4.42578125" style="40" bestFit="1" customWidth="1"/>
    <col min="6684" max="6705" width="0" style="40" hidden="1" customWidth="1"/>
    <col min="6706" max="6706" width="0.7109375" style="40" customWidth="1"/>
    <col min="6707" max="6707" width="12.85546875" style="40" bestFit="1" customWidth="1"/>
    <col min="6708" max="6708" width="7.7109375" style="40" bestFit="1" customWidth="1"/>
    <col min="6709" max="6709" width="10.85546875" style="40" bestFit="1" customWidth="1"/>
    <col min="6710" max="6711" width="6.5703125" style="40" bestFit="1" customWidth="1"/>
    <col min="6712" max="6712" width="4.5703125" style="40" bestFit="1" customWidth="1"/>
    <col min="6713" max="6713" width="7.7109375" style="40" bestFit="1" customWidth="1"/>
    <col min="6714" max="6714" width="6.5703125" style="40" bestFit="1" customWidth="1"/>
    <col min="6715" max="6715" width="6.140625" style="40" bestFit="1" customWidth="1"/>
    <col min="6716" max="6716" width="1" style="40" customWidth="1"/>
    <col min="6717" max="6717" width="4.85546875" style="40" bestFit="1" customWidth="1"/>
    <col min="6718" max="6718" width="7" style="40" customWidth="1"/>
    <col min="6719" max="6719" width="7.42578125" style="40" customWidth="1"/>
    <col min="6720" max="6720" width="7.28515625" style="40" customWidth="1"/>
    <col min="6721" max="6721" width="7.5703125" style="40" customWidth="1"/>
    <col min="6722" max="6722" width="13.5703125" style="40" bestFit="1" customWidth="1"/>
    <col min="6723" max="6723" width="24.140625" style="40" bestFit="1" customWidth="1"/>
    <col min="6724" max="6725" width="5.7109375" style="40" bestFit="1" customWidth="1"/>
    <col min="6726" max="6726" width="5.28515625" style="40" bestFit="1" customWidth="1"/>
    <col min="6727" max="6913" width="9.140625" style="40"/>
    <col min="6914" max="6914" width="2.28515625" style="40" customWidth="1"/>
    <col min="6915" max="6916" width="8.42578125" style="40" customWidth="1"/>
    <col min="6917" max="6917" width="13.5703125" style="40" customWidth="1"/>
    <col min="6918" max="6928" width="4.7109375" style="40" customWidth="1"/>
    <col min="6929" max="6929" width="3.85546875" style="40" customWidth="1"/>
    <col min="6930" max="6930" width="5" style="40" customWidth="1"/>
    <col min="6931" max="6931" width="3.5703125" style="40" customWidth="1"/>
    <col min="6932" max="6932" width="5.140625" style="40" customWidth="1"/>
    <col min="6933" max="6933" width="3.85546875" style="40" customWidth="1"/>
    <col min="6934" max="6934" width="4.7109375" style="40" customWidth="1"/>
    <col min="6935" max="6935" width="4.140625" style="40" customWidth="1"/>
    <col min="6936" max="6936" width="5" style="40" customWidth="1"/>
    <col min="6937" max="6937" width="4" style="40" customWidth="1"/>
    <col min="6938" max="6938" width="4.85546875" style="40" customWidth="1"/>
    <col min="6939" max="6939" width="4.42578125" style="40" bestFit="1" customWidth="1"/>
    <col min="6940" max="6961" width="0" style="40" hidden="1" customWidth="1"/>
    <col min="6962" max="6962" width="0.7109375" style="40" customWidth="1"/>
    <col min="6963" max="6963" width="12.85546875" style="40" bestFit="1" customWidth="1"/>
    <col min="6964" max="6964" width="7.7109375" style="40" bestFit="1" customWidth="1"/>
    <col min="6965" max="6965" width="10.85546875" style="40" bestFit="1" customWidth="1"/>
    <col min="6966" max="6967" width="6.5703125" style="40" bestFit="1" customWidth="1"/>
    <col min="6968" max="6968" width="4.5703125" style="40" bestFit="1" customWidth="1"/>
    <col min="6969" max="6969" width="7.7109375" style="40" bestFit="1" customWidth="1"/>
    <col min="6970" max="6970" width="6.5703125" style="40" bestFit="1" customWidth="1"/>
    <col min="6971" max="6971" width="6.140625" style="40" bestFit="1" customWidth="1"/>
    <col min="6972" max="6972" width="1" style="40" customWidth="1"/>
    <col min="6973" max="6973" width="4.85546875" style="40" bestFit="1" customWidth="1"/>
    <col min="6974" max="6974" width="7" style="40" customWidth="1"/>
    <col min="6975" max="6975" width="7.42578125" style="40" customWidth="1"/>
    <col min="6976" max="6976" width="7.28515625" style="40" customWidth="1"/>
    <col min="6977" max="6977" width="7.5703125" style="40" customWidth="1"/>
    <col min="6978" max="6978" width="13.5703125" style="40" bestFit="1" customWidth="1"/>
    <col min="6979" max="6979" width="24.140625" style="40" bestFit="1" customWidth="1"/>
    <col min="6980" max="6981" width="5.7109375" style="40" bestFit="1" customWidth="1"/>
    <col min="6982" max="6982" width="5.28515625" style="40" bestFit="1" customWidth="1"/>
    <col min="6983" max="7169" width="9.140625" style="40"/>
    <col min="7170" max="7170" width="2.28515625" style="40" customWidth="1"/>
    <col min="7171" max="7172" width="8.42578125" style="40" customWidth="1"/>
    <col min="7173" max="7173" width="13.5703125" style="40" customWidth="1"/>
    <col min="7174" max="7184" width="4.7109375" style="40" customWidth="1"/>
    <col min="7185" max="7185" width="3.85546875" style="40" customWidth="1"/>
    <col min="7186" max="7186" width="5" style="40" customWidth="1"/>
    <col min="7187" max="7187" width="3.5703125" style="40" customWidth="1"/>
    <col min="7188" max="7188" width="5.140625" style="40" customWidth="1"/>
    <col min="7189" max="7189" width="3.85546875" style="40" customWidth="1"/>
    <col min="7190" max="7190" width="4.7109375" style="40" customWidth="1"/>
    <col min="7191" max="7191" width="4.140625" style="40" customWidth="1"/>
    <col min="7192" max="7192" width="5" style="40" customWidth="1"/>
    <col min="7193" max="7193" width="4" style="40" customWidth="1"/>
    <col min="7194" max="7194" width="4.85546875" style="40" customWidth="1"/>
    <col min="7195" max="7195" width="4.42578125" style="40" bestFit="1" customWidth="1"/>
    <col min="7196" max="7217" width="0" style="40" hidden="1" customWidth="1"/>
    <col min="7218" max="7218" width="0.7109375" style="40" customWidth="1"/>
    <col min="7219" max="7219" width="12.85546875" style="40" bestFit="1" customWidth="1"/>
    <col min="7220" max="7220" width="7.7109375" style="40" bestFit="1" customWidth="1"/>
    <col min="7221" max="7221" width="10.85546875" style="40" bestFit="1" customWidth="1"/>
    <col min="7222" max="7223" width="6.5703125" style="40" bestFit="1" customWidth="1"/>
    <col min="7224" max="7224" width="4.5703125" style="40" bestFit="1" customWidth="1"/>
    <col min="7225" max="7225" width="7.7109375" style="40" bestFit="1" customWidth="1"/>
    <col min="7226" max="7226" width="6.5703125" style="40" bestFit="1" customWidth="1"/>
    <col min="7227" max="7227" width="6.140625" style="40" bestFit="1" customWidth="1"/>
    <col min="7228" max="7228" width="1" style="40" customWidth="1"/>
    <col min="7229" max="7229" width="4.85546875" style="40" bestFit="1" customWidth="1"/>
    <col min="7230" max="7230" width="7" style="40" customWidth="1"/>
    <col min="7231" max="7231" width="7.42578125" style="40" customWidth="1"/>
    <col min="7232" max="7232" width="7.28515625" style="40" customWidth="1"/>
    <col min="7233" max="7233" width="7.5703125" style="40" customWidth="1"/>
    <col min="7234" max="7234" width="13.5703125" style="40" bestFit="1" customWidth="1"/>
    <col min="7235" max="7235" width="24.140625" style="40" bestFit="1" customWidth="1"/>
    <col min="7236" max="7237" width="5.7109375" style="40" bestFit="1" customWidth="1"/>
    <col min="7238" max="7238" width="5.28515625" style="40" bestFit="1" customWidth="1"/>
    <col min="7239" max="7425" width="9.140625" style="40"/>
    <col min="7426" max="7426" width="2.28515625" style="40" customWidth="1"/>
    <col min="7427" max="7428" width="8.42578125" style="40" customWidth="1"/>
    <col min="7429" max="7429" width="13.5703125" style="40" customWidth="1"/>
    <col min="7430" max="7440" width="4.7109375" style="40" customWidth="1"/>
    <col min="7441" max="7441" width="3.85546875" style="40" customWidth="1"/>
    <col min="7442" max="7442" width="5" style="40" customWidth="1"/>
    <col min="7443" max="7443" width="3.5703125" style="40" customWidth="1"/>
    <col min="7444" max="7444" width="5.140625" style="40" customWidth="1"/>
    <col min="7445" max="7445" width="3.85546875" style="40" customWidth="1"/>
    <col min="7446" max="7446" width="4.7109375" style="40" customWidth="1"/>
    <col min="7447" max="7447" width="4.140625" style="40" customWidth="1"/>
    <col min="7448" max="7448" width="5" style="40" customWidth="1"/>
    <col min="7449" max="7449" width="4" style="40" customWidth="1"/>
    <col min="7450" max="7450" width="4.85546875" style="40" customWidth="1"/>
    <col min="7451" max="7451" width="4.42578125" style="40" bestFit="1" customWidth="1"/>
    <col min="7452" max="7473" width="0" style="40" hidden="1" customWidth="1"/>
    <col min="7474" max="7474" width="0.7109375" style="40" customWidth="1"/>
    <col min="7475" max="7475" width="12.85546875" style="40" bestFit="1" customWidth="1"/>
    <col min="7476" max="7476" width="7.7109375" style="40" bestFit="1" customWidth="1"/>
    <col min="7477" max="7477" width="10.85546875" style="40" bestFit="1" customWidth="1"/>
    <col min="7478" max="7479" width="6.5703125" style="40" bestFit="1" customWidth="1"/>
    <col min="7480" max="7480" width="4.5703125" style="40" bestFit="1" customWidth="1"/>
    <col min="7481" max="7481" width="7.7109375" style="40" bestFit="1" customWidth="1"/>
    <col min="7482" max="7482" width="6.5703125" style="40" bestFit="1" customWidth="1"/>
    <col min="7483" max="7483" width="6.140625" style="40" bestFit="1" customWidth="1"/>
    <col min="7484" max="7484" width="1" style="40" customWidth="1"/>
    <col min="7485" max="7485" width="4.85546875" style="40" bestFit="1" customWidth="1"/>
    <col min="7486" max="7486" width="7" style="40" customWidth="1"/>
    <col min="7487" max="7487" width="7.42578125" style="40" customWidth="1"/>
    <col min="7488" max="7488" width="7.28515625" style="40" customWidth="1"/>
    <col min="7489" max="7489" width="7.5703125" style="40" customWidth="1"/>
    <col min="7490" max="7490" width="13.5703125" style="40" bestFit="1" customWidth="1"/>
    <col min="7491" max="7491" width="24.140625" style="40" bestFit="1" customWidth="1"/>
    <col min="7492" max="7493" width="5.7109375" style="40" bestFit="1" customWidth="1"/>
    <col min="7494" max="7494" width="5.28515625" style="40" bestFit="1" customWidth="1"/>
    <col min="7495" max="7681" width="9.140625" style="40"/>
    <col min="7682" max="7682" width="2.28515625" style="40" customWidth="1"/>
    <col min="7683" max="7684" width="8.42578125" style="40" customWidth="1"/>
    <col min="7685" max="7685" width="13.5703125" style="40" customWidth="1"/>
    <col min="7686" max="7696" width="4.7109375" style="40" customWidth="1"/>
    <col min="7697" max="7697" width="3.85546875" style="40" customWidth="1"/>
    <col min="7698" max="7698" width="5" style="40" customWidth="1"/>
    <col min="7699" max="7699" width="3.5703125" style="40" customWidth="1"/>
    <col min="7700" max="7700" width="5.140625" style="40" customWidth="1"/>
    <col min="7701" max="7701" width="3.85546875" style="40" customWidth="1"/>
    <col min="7702" max="7702" width="4.7109375" style="40" customWidth="1"/>
    <col min="7703" max="7703" width="4.140625" style="40" customWidth="1"/>
    <col min="7704" max="7704" width="5" style="40" customWidth="1"/>
    <col min="7705" max="7705" width="4" style="40" customWidth="1"/>
    <col min="7706" max="7706" width="4.85546875" style="40" customWidth="1"/>
    <col min="7707" max="7707" width="4.42578125" style="40" bestFit="1" customWidth="1"/>
    <col min="7708" max="7729" width="0" style="40" hidden="1" customWidth="1"/>
    <col min="7730" max="7730" width="0.7109375" style="40" customWidth="1"/>
    <col min="7731" max="7731" width="12.85546875" style="40" bestFit="1" customWidth="1"/>
    <col min="7732" max="7732" width="7.7109375" style="40" bestFit="1" customWidth="1"/>
    <col min="7733" max="7733" width="10.85546875" style="40" bestFit="1" customWidth="1"/>
    <col min="7734" max="7735" width="6.5703125" style="40" bestFit="1" customWidth="1"/>
    <col min="7736" max="7736" width="4.5703125" style="40" bestFit="1" customWidth="1"/>
    <col min="7737" max="7737" width="7.7109375" style="40" bestFit="1" customWidth="1"/>
    <col min="7738" max="7738" width="6.5703125" style="40" bestFit="1" customWidth="1"/>
    <col min="7739" max="7739" width="6.140625" style="40" bestFit="1" customWidth="1"/>
    <col min="7740" max="7740" width="1" style="40" customWidth="1"/>
    <col min="7741" max="7741" width="4.85546875" style="40" bestFit="1" customWidth="1"/>
    <col min="7742" max="7742" width="7" style="40" customWidth="1"/>
    <col min="7743" max="7743" width="7.42578125" style="40" customWidth="1"/>
    <col min="7744" max="7744" width="7.28515625" style="40" customWidth="1"/>
    <col min="7745" max="7745" width="7.5703125" style="40" customWidth="1"/>
    <col min="7746" max="7746" width="13.5703125" style="40" bestFit="1" customWidth="1"/>
    <col min="7747" max="7747" width="24.140625" style="40" bestFit="1" customWidth="1"/>
    <col min="7748" max="7749" width="5.7109375" style="40" bestFit="1" customWidth="1"/>
    <col min="7750" max="7750" width="5.28515625" style="40" bestFit="1" customWidth="1"/>
    <col min="7751" max="7937" width="9.140625" style="40"/>
    <col min="7938" max="7938" width="2.28515625" style="40" customWidth="1"/>
    <col min="7939" max="7940" width="8.42578125" style="40" customWidth="1"/>
    <col min="7941" max="7941" width="13.5703125" style="40" customWidth="1"/>
    <col min="7942" max="7952" width="4.7109375" style="40" customWidth="1"/>
    <col min="7953" max="7953" width="3.85546875" style="40" customWidth="1"/>
    <col min="7954" max="7954" width="5" style="40" customWidth="1"/>
    <col min="7955" max="7955" width="3.5703125" style="40" customWidth="1"/>
    <col min="7956" max="7956" width="5.140625" style="40" customWidth="1"/>
    <col min="7957" max="7957" width="3.85546875" style="40" customWidth="1"/>
    <col min="7958" max="7958" width="4.7109375" style="40" customWidth="1"/>
    <col min="7959" max="7959" width="4.140625" style="40" customWidth="1"/>
    <col min="7960" max="7960" width="5" style="40" customWidth="1"/>
    <col min="7961" max="7961" width="4" style="40" customWidth="1"/>
    <col min="7962" max="7962" width="4.85546875" style="40" customWidth="1"/>
    <col min="7963" max="7963" width="4.42578125" style="40" bestFit="1" customWidth="1"/>
    <col min="7964" max="7985" width="0" style="40" hidden="1" customWidth="1"/>
    <col min="7986" max="7986" width="0.7109375" style="40" customWidth="1"/>
    <col min="7987" max="7987" width="12.85546875" style="40" bestFit="1" customWidth="1"/>
    <col min="7988" max="7988" width="7.7109375" style="40" bestFit="1" customWidth="1"/>
    <col min="7989" max="7989" width="10.85546875" style="40" bestFit="1" customWidth="1"/>
    <col min="7990" max="7991" width="6.5703125" style="40" bestFit="1" customWidth="1"/>
    <col min="7992" max="7992" width="4.5703125" style="40" bestFit="1" customWidth="1"/>
    <col min="7993" max="7993" width="7.7109375" style="40" bestFit="1" customWidth="1"/>
    <col min="7994" max="7994" width="6.5703125" style="40" bestFit="1" customWidth="1"/>
    <col min="7995" max="7995" width="6.140625" style="40" bestFit="1" customWidth="1"/>
    <col min="7996" max="7996" width="1" style="40" customWidth="1"/>
    <col min="7997" max="7997" width="4.85546875" style="40" bestFit="1" customWidth="1"/>
    <col min="7998" max="7998" width="7" style="40" customWidth="1"/>
    <col min="7999" max="7999" width="7.42578125" style="40" customWidth="1"/>
    <col min="8000" max="8000" width="7.28515625" style="40" customWidth="1"/>
    <col min="8001" max="8001" width="7.5703125" style="40" customWidth="1"/>
    <col min="8002" max="8002" width="13.5703125" style="40" bestFit="1" customWidth="1"/>
    <col min="8003" max="8003" width="24.140625" style="40" bestFit="1" customWidth="1"/>
    <col min="8004" max="8005" width="5.7109375" style="40" bestFit="1" customWidth="1"/>
    <col min="8006" max="8006" width="5.28515625" style="40" bestFit="1" customWidth="1"/>
    <col min="8007" max="8193" width="9.140625" style="40"/>
    <col min="8194" max="8194" width="2.28515625" style="40" customWidth="1"/>
    <col min="8195" max="8196" width="8.42578125" style="40" customWidth="1"/>
    <col min="8197" max="8197" width="13.5703125" style="40" customWidth="1"/>
    <col min="8198" max="8208" width="4.7109375" style="40" customWidth="1"/>
    <col min="8209" max="8209" width="3.85546875" style="40" customWidth="1"/>
    <col min="8210" max="8210" width="5" style="40" customWidth="1"/>
    <col min="8211" max="8211" width="3.5703125" style="40" customWidth="1"/>
    <col min="8212" max="8212" width="5.140625" style="40" customWidth="1"/>
    <col min="8213" max="8213" width="3.85546875" style="40" customWidth="1"/>
    <col min="8214" max="8214" width="4.7109375" style="40" customWidth="1"/>
    <col min="8215" max="8215" width="4.140625" style="40" customWidth="1"/>
    <col min="8216" max="8216" width="5" style="40" customWidth="1"/>
    <col min="8217" max="8217" width="4" style="40" customWidth="1"/>
    <col min="8218" max="8218" width="4.85546875" style="40" customWidth="1"/>
    <col min="8219" max="8219" width="4.42578125" style="40" bestFit="1" customWidth="1"/>
    <col min="8220" max="8241" width="0" style="40" hidden="1" customWidth="1"/>
    <col min="8242" max="8242" width="0.7109375" style="40" customWidth="1"/>
    <col min="8243" max="8243" width="12.85546875" style="40" bestFit="1" customWidth="1"/>
    <col min="8244" max="8244" width="7.7109375" style="40" bestFit="1" customWidth="1"/>
    <col min="8245" max="8245" width="10.85546875" style="40" bestFit="1" customWidth="1"/>
    <col min="8246" max="8247" width="6.5703125" style="40" bestFit="1" customWidth="1"/>
    <col min="8248" max="8248" width="4.5703125" style="40" bestFit="1" customWidth="1"/>
    <col min="8249" max="8249" width="7.7109375" style="40" bestFit="1" customWidth="1"/>
    <col min="8250" max="8250" width="6.5703125" style="40" bestFit="1" customWidth="1"/>
    <col min="8251" max="8251" width="6.140625" style="40" bestFit="1" customWidth="1"/>
    <col min="8252" max="8252" width="1" style="40" customWidth="1"/>
    <col min="8253" max="8253" width="4.85546875" style="40" bestFit="1" customWidth="1"/>
    <col min="8254" max="8254" width="7" style="40" customWidth="1"/>
    <col min="8255" max="8255" width="7.42578125" style="40" customWidth="1"/>
    <col min="8256" max="8256" width="7.28515625" style="40" customWidth="1"/>
    <col min="8257" max="8257" width="7.5703125" style="40" customWidth="1"/>
    <col min="8258" max="8258" width="13.5703125" style="40" bestFit="1" customWidth="1"/>
    <col min="8259" max="8259" width="24.140625" style="40" bestFit="1" customWidth="1"/>
    <col min="8260" max="8261" width="5.7109375" style="40" bestFit="1" customWidth="1"/>
    <col min="8262" max="8262" width="5.28515625" style="40" bestFit="1" customWidth="1"/>
    <col min="8263" max="8449" width="9.140625" style="40"/>
    <col min="8450" max="8450" width="2.28515625" style="40" customWidth="1"/>
    <col min="8451" max="8452" width="8.42578125" style="40" customWidth="1"/>
    <col min="8453" max="8453" width="13.5703125" style="40" customWidth="1"/>
    <col min="8454" max="8464" width="4.7109375" style="40" customWidth="1"/>
    <col min="8465" max="8465" width="3.85546875" style="40" customWidth="1"/>
    <col min="8466" max="8466" width="5" style="40" customWidth="1"/>
    <col min="8467" max="8467" width="3.5703125" style="40" customWidth="1"/>
    <col min="8468" max="8468" width="5.140625" style="40" customWidth="1"/>
    <col min="8469" max="8469" width="3.85546875" style="40" customWidth="1"/>
    <col min="8470" max="8470" width="4.7109375" style="40" customWidth="1"/>
    <col min="8471" max="8471" width="4.140625" style="40" customWidth="1"/>
    <col min="8472" max="8472" width="5" style="40" customWidth="1"/>
    <col min="8473" max="8473" width="4" style="40" customWidth="1"/>
    <col min="8474" max="8474" width="4.85546875" style="40" customWidth="1"/>
    <col min="8475" max="8475" width="4.42578125" style="40" bestFit="1" customWidth="1"/>
    <col min="8476" max="8497" width="0" style="40" hidden="1" customWidth="1"/>
    <col min="8498" max="8498" width="0.7109375" style="40" customWidth="1"/>
    <col min="8499" max="8499" width="12.85546875" style="40" bestFit="1" customWidth="1"/>
    <col min="8500" max="8500" width="7.7109375" style="40" bestFit="1" customWidth="1"/>
    <col min="8501" max="8501" width="10.85546875" style="40" bestFit="1" customWidth="1"/>
    <col min="8502" max="8503" width="6.5703125" style="40" bestFit="1" customWidth="1"/>
    <col min="8504" max="8504" width="4.5703125" style="40" bestFit="1" customWidth="1"/>
    <col min="8505" max="8505" width="7.7109375" style="40" bestFit="1" customWidth="1"/>
    <col min="8506" max="8506" width="6.5703125" style="40" bestFit="1" customWidth="1"/>
    <col min="8507" max="8507" width="6.140625" style="40" bestFit="1" customWidth="1"/>
    <col min="8508" max="8508" width="1" style="40" customWidth="1"/>
    <col min="8509" max="8509" width="4.85546875" style="40" bestFit="1" customWidth="1"/>
    <col min="8510" max="8510" width="7" style="40" customWidth="1"/>
    <col min="8511" max="8511" width="7.42578125" style="40" customWidth="1"/>
    <col min="8512" max="8512" width="7.28515625" style="40" customWidth="1"/>
    <col min="8513" max="8513" width="7.5703125" style="40" customWidth="1"/>
    <col min="8514" max="8514" width="13.5703125" style="40" bestFit="1" customWidth="1"/>
    <col min="8515" max="8515" width="24.140625" style="40" bestFit="1" customWidth="1"/>
    <col min="8516" max="8517" width="5.7109375" style="40" bestFit="1" customWidth="1"/>
    <col min="8518" max="8518" width="5.28515625" style="40" bestFit="1" customWidth="1"/>
    <col min="8519" max="8705" width="9.140625" style="40"/>
    <col min="8706" max="8706" width="2.28515625" style="40" customWidth="1"/>
    <col min="8707" max="8708" width="8.42578125" style="40" customWidth="1"/>
    <col min="8709" max="8709" width="13.5703125" style="40" customWidth="1"/>
    <col min="8710" max="8720" width="4.7109375" style="40" customWidth="1"/>
    <col min="8721" max="8721" width="3.85546875" style="40" customWidth="1"/>
    <col min="8722" max="8722" width="5" style="40" customWidth="1"/>
    <col min="8723" max="8723" width="3.5703125" style="40" customWidth="1"/>
    <col min="8724" max="8724" width="5.140625" style="40" customWidth="1"/>
    <col min="8725" max="8725" width="3.85546875" style="40" customWidth="1"/>
    <col min="8726" max="8726" width="4.7109375" style="40" customWidth="1"/>
    <col min="8727" max="8727" width="4.140625" style="40" customWidth="1"/>
    <col min="8728" max="8728" width="5" style="40" customWidth="1"/>
    <col min="8729" max="8729" width="4" style="40" customWidth="1"/>
    <col min="8730" max="8730" width="4.85546875" style="40" customWidth="1"/>
    <col min="8731" max="8731" width="4.42578125" style="40" bestFit="1" customWidth="1"/>
    <col min="8732" max="8753" width="0" style="40" hidden="1" customWidth="1"/>
    <col min="8754" max="8754" width="0.7109375" style="40" customWidth="1"/>
    <col min="8755" max="8755" width="12.85546875" style="40" bestFit="1" customWidth="1"/>
    <col min="8756" max="8756" width="7.7109375" style="40" bestFit="1" customWidth="1"/>
    <col min="8757" max="8757" width="10.85546875" style="40" bestFit="1" customWidth="1"/>
    <col min="8758" max="8759" width="6.5703125" style="40" bestFit="1" customWidth="1"/>
    <col min="8760" max="8760" width="4.5703125" style="40" bestFit="1" customWidth="1"/>
    <col min="8761" max="8761" width="7.7109375" style="40" bestFit="1" customWidth="1"/>
    <col min="8762" max="8762" width="6.5703125" style="40" bestFit="1" customWidth="1"/>
    <col min="8763" max="8763" width="6.140625" style="40" bestFit="1" customWidth="1"/>
    <col min="8764" max="8764" width="1" style="40" customWidth="1"/>
    <col min="8765" max="8765" width="4.85546875" style="40" bestFit="1" customWidth="1"/>
    <col min="8766" max="8766" width="7" style="40" customWidth="1"/>
    <col min="8767" max="8767" width="7.42578125" style="40" customWidth="1"/>
    <col min="8768" max="8768" width="7.28515625" style="40" customWidth="1"/>
    <col min="8769" max="8769" width="7.5703125" style="40" customWidth="1"/>
    <col min="8770" max="8770" width="13.5703125" style="40" bestFit="1" customWidth="1"/>
    <col min="8771" max="8771" width="24.140625" style="40" bestFit="1" customWidth="1"/>
    <col min="8772" max="8773" width="5.7109375" style="40" bestFit="1" customWidth="1"/>
    <col min="8774" max="8774" width="5.28515625" style="40" bestFit="1" customWidth="1"/>
    <col min="8775" max="8961" width="9.140625" style="40"/>
    <col min="8962" max="8962" width="2.28515625" style="40" customWidth="1"/>
    <col min="8963" max="8964" width="8.42578125" style="40" customWidth="1"/>
    <col min="8965" max="8965" width="13.5703125" style="40" customWidth="1"/>
    <col min="8966" max="8976" width="4.7109375" style="40" customWidth="1"/>
    <col min="8977" max="8977" width="3.85546875" style="40" customWidth="1"/>
    <col min="8978" max="8978" width="5" style="40" customWidth="1"/>
    <col min="8979" max="8979" width="3.5703125" style="40" customWidth="1"/>
    <col min="8980" max="8980" width="5.140625" style="40" customWidth="1"/>
    <col min="8981" max="8981" width="3.85546875" style="40" customWidth="1"/>
    <col min="8982" max="8982" width="4.7109375" style="40" customWidth="1"/>
    <col min="8983" max="8983" width="4.140625" style="40" customWidth="1"/>
    <col min="8984" max="8984" width="5" style="40" customWidth="1"/>
    <col min="8985" max="8985" width="4" style="40" customWidth="1"/>
    <col min="8986" max="8986" width="4.85546875" style="40" customWidth="1"/>
    <col min="8987" max="8987" width="4.42578125" style="40" bestFit="1" customWidth="1"/>
    <col min="8988" max="9009" width="0" style="40" hidden="1" customWidth="1"/>
    <col min="9010" max="9010" width="0.7109375" style="40" customWidth="1"/>
    <col min="9011" max="9011" width="12.85546875" style="40" bestFit="1" customWidth="1"/>
    <col min="9012" max="9012" width="7.7109375" style="40" bestFit="1" customWidth="1"/>
    <col min="9013" max="9013" width="10.85546875" style="40" bestFit="1" customWidth="1"/>
    <col min="9014" max="9015" width="6.5703125" style="40" bestFit="1" customWidth="1"/>
    <col min="9016" max="9016" width="4.5703125" style="40" bestFit="1" customWidth="1"/>
    <col min="9017" max="9017" width="7.7109375" style="40" bestFit="1" customWidth="1"/>
    <col min="9018" max="9018" width="6.5703125" style="40" bestFit="1" customWidth="1"/>
    <col min="9019" max="9019" width="6.140625" style="40" bestFit="1" customWidth="1"/>
    <col min="9020" max="9020" width="1" style="40" customWidth="1"/>
    <col min="9021" max="9021" width="4.85546875" style="40" bestFit="1" customWidth="1"/>
    <col min="9022" max="9022" width="7" style="40" customWidth="1"/>
    <col min="9023" max="9023" width="7.42578125" style="40" customWidth="1"/>
    <col min="9024" max="9024" width="7.28515625" style="40" customWidth="1"/>
    <col min="9025" max="9025" width="7.5703125" style="40" customWidth="1"/>
    <col min="9026" max="9026" width="13.5703125" style="40" bestFit="1" customWidth="1"/>
    <col min="9027" max="9027" width="24.140625" style="40" bestFit="1" customWidth="1"/>
    <col min="9028" max="9029" width="5.7109375" style="40" bestFit="1" customWidth="1"/>
    <col min="9030" max="9030" width="5.28515625" style="40" bestFit="1" customWidth="1"/>
    <col min="9031" max="9217" width="9.140625" style="40"/>
    <col min="9218" max="9218" width="2.28515625" style="40" customWidth="1"/>
    <col min="9219" max="9220" width="8.42578125" style="40" customWidth="1"/>
    <col min="9221" max="9221" width="13.5703125" style="40" customWidth="1"/>
    <col min="9222" max="9232" width="4.7109375" style="40" customWidth="1"/>
    <col min="9233" max="9233" width="3.85546875" style="40" customWidth="1"/>
    <col min="9234" max="9234" width="5" style="40" customWidth="1"/>
    <col min="9235" max="9235" width="3.5703125" style="40" customWidth="1"/>
    <col min="9236" max="9236" width="5.140625" style="40" customWidth="1"/>
    <col min="9237" max="9237" width="3.85546875" style="40" customWidth="1"/>
    <col min="9238" max="9238" width="4.7109375" style="40" customWidth="1"/>
    <col min="9239" max="9239" width="4.140625" style="40" customWidth="1"/>
    <col min="9240" max="9240" width="5" style="40" customWidth="1"/>
    <col min="9241" max="9241" width="4" style="40" customWidth="1"/>
    <col min="9242" max="9242" width="4.85546875" style="40" customWidth="1"/>
    <col min="9243" max="9243" width="4.42578125" style="40" bestFit="1" customWidth="1"/>
    <col min="9244" max="9265" width="0" style="40" hidden="1" customWidth="1"/>
    <col min="9266" max="9266" width="0.7109375" style="40" customWidth="1"/>
    <col min="9267" max="9267" width="12.85546875" style="40" bestFit="1" customWidth="1"/>
    <col min="9268" max="9268" width="7.7109375" style="40" bestFit="1" customWidth="1"/>
    <col min="9269" max="9269" width="10.85546875" style="40" bestFit="1" customWidth="1"/>
    <col min="9270" max="9271" width="6.5703125" style="40" bestFit="1" customWidth="1"/>
    <col min="9272" max="9272" width="4.5703125" style="40" bestFit="1" customWidth="1"/>
    <col min="9273" max="9273" width="7.7109375" style="40" bestFit="1" customWidth="1"/>
    <col min="9274" max="9274" width="6.5703125" style="40" bestFit="1" customWidth="1"/>
    <col min="9275" max="9275" width="6.140625" style="40" bestFit="1" customWidth="1"/>
    <col min="9276" max="9276" width="1" style="40" customWidth="1"/>
    <col min="9277" max="9277" width="4.85546875" style="40" bestFit="1" customWidth="1"/>
    <col min="9278" max="9278" width="7" style="40" customWidth="1"/>
    <col min="9279" max="9279" width="7.42578125" style="40" customWidth="1"/>
    <col min="9280" max="9280" width="7.28515625" style="40" customWidth="1"/>
    <col min="9281" max="9281" width="7.5703125" style="40" customWidth="1"/>
    <col min="9282" max="9282" width="13.5703125" style="40" bestFit="1" customWidth="1"/>
    <col min="9283" max="9283" width="24.140625" style="40" bestFit="1" customWidth="1"/>
    <col min="9284" max="9285" width="5.7109375" style="40" bestFit="1" customWidth="1"/>
    <col min="9286" max="9286" width="5.28515625" style="40" bestFit="1" customWidth="1"/>
    <col min="9287" max="9473" width="9.140625" style="40"/>
    <col min="9474" max="9474" width="2.28515625" style="40" customWidth="1"/>
    <col min="9475" max="9476" width="8.42578125" style="40" customWidth="1"/>
    <col min="9477" max="9477" width="13.5703125" style="40" customWidth="1"/>
    <col min="9478" max="9488" width="4.7109375" style="40" customWidth="1"/>
    <col min="9489" max="9489" width="3.85546875" style="40" customWidth="1"/>
    <col min="9490" max="9490" width="5" style="40" customWidth="1"/>
    <col min="9491" max="9491" width="3.5703125" style="40" customWidth="1"/>
    <col min="9492" max="9492" width="5.140625" style="40" customWidth="1"/>
    <col min="9493" max="9493" width="3.85546875" style="40" customWidth="1"/>
    <col min="9494" max="9494" width="4.7109375" style="40" customWidth="1"/>
    <col min="9495" max="9495" width="4.140625" style="40" customWidth="1"/>
    <col min="9496" max="9496" width="5" style="40" customWidth="1"/>
    <col min="9497" max="9497" width="4" style="40" customWidth="1"/>
    <col min="9498" max="9498" width="4.85546875" style="40" customWidth="1"/>
    <col min="9499" max="9499" width="4.42578125" style="40" bestFit="1" customWidth="1"/>
    <col min="9500" max="9521" width="0" style="40" hidden="1" customWidth="1"/>
    <col min="9522" max="9522" width="0.7109375" style="40" customWidth="1"/>
    <col min="9523" max="9523" width="12.85546875" style="40" bestFit="1" customWidth="1"/>
    <col min="9524" max="9524" width="7.7109375" style="40" bestFit="1" customWidth="1"/>
    <col min="9525" max="9525" width="10.85546875" style="40" bestFit="1" customWidth="1"/>
    <col min="9526" max="9527" width="6.5703125" style="40" bestFit="1" customWidth="1"/>
    <col min="9528" max="9528" width="4.5703125" style="40" bestFit="1" customWidth="1"/>
    <col min="9529" max="9529" width="7.7109375" style="40" bestFit="1" customWidth="1"/>
    <col min="9530" max="9530" width="6.5703125" style="40" bestFit="1" customWidth="1"/>
    <col min="9531" max="9531" width="6.140625" style="40" bestFit="1" customWidth="1"/>
    <col min="9532" max="9532" width="1" style="40" customWidth="1"/>
    <col min="9533" max="9533" width="4.85546875" style="40" bestFit="1" customWidth="1"/>
    <col min="9534" max="9534" width="7" style="40" customWidth="1"/>
    <col min="9535" max="9535" width="7.42578125" style="40" customWidth="1"/>
    <col min="9536" max="9536" width="7.28515625" style="40" customWidth="1"/>
    <col min="9537" max="9537" width="7.5703125" style="40" customWidth="1"/>
    <col min="9538" max="9538" width="13.5703125" style="40" bestFit="1" customWidth="1"/>
    <col min="9539" max="9539" width="24.140625" style="40" bestFit="1" customWidth="1"/>
    <col min="9540" max="9541" width="5.7109375" style="40" bestFit="1" customWidth="1"/>
    <col min="9542" max="9542" width="5.28515625" style="40" bestFit="1" customWidth="1"/>
    <col min="9543" max="9729" width="9.140625" style="40"/>
    <col min="9730" max="9730" width="2.28515625" style="40" customWidth="1"/>
    <col min="9731" max="9732" width="8.42578125" style="40" customWidth="1"/>
    <col min="9733" max="9733" width="13.5703125" style="40" customWidth="1"/>
    <col min="9734" max="9744" width="4.7109375" style="40" customWidth="1"/>
    <col min="9745" max="9745" width="3.85546875" style="40" customWidth="1"/>
    <col min="9746" max="9746" width="5" style="40" customWidth="1"/>
    <col min="9747" max="9747" width="3.5703125" style="40" customWidth="1"/>
    <col min="9748" max="9748" width="5.140625" style="40" customWidth="1"/>
    <col min="9749" max="9749" width="3.85546875" style="40" customWidth="1"/>
    <col min="9750" max="9750" width="4.7109375" style="40" customWidth="1"/>
    <col min="9751" max="9751" width="4.140625" style="40" customWidth="1"/>
    <col min="9752" max="9752" width="5" style="40" customWidth="1"/>
    <col min="9753" max="9753" width="4" style="40" customWidth="1"/>
    <col min="9754" max="9754" width="4.85546875" style="40" customWidth="1"/>
    <col min="9755" max="9755" width="4.42578125" style="40" bestFit="1" customWidth="1"/>
    <col min="9756" max="9777" width="0" style="40" hidden="1" customWidth="1"/>
    <col min="9778" max="9778" width="0.7109375" style="40" customWidth="1"/>
    <col min="9779" max="9779" width="12.85546875" style="40" bestFit="1" customWidth="1"/>
    <col min="9780" max="9780" width="7.7109375" style="40" bestFit="1" customWidth="1"/>
    <col min="9781" max="9781" width="10.85546875" style="40" bestFit="1" customWidth="1"/>
    <col min="9782" max="9783" width="6.5703125" style="40" bestFit="1" customWidth="1"/>
    <col min="9784" max="9784" width="4.5703125" style="40" bestFit="1" customWidth="1"/>
    <col min="9785" max="9785" width="7.7109375" style="40" bestFit="1" customWidth="1"/>
    <col min="9786" max="9786" width="6.5703125" style="40" bestFit="1" customWidth="1"/>
    <col min="9787" max="9787" width="6.140625" style="40" bestFit="1" customWidth="1"/>
    <col min="9788" max="9788" width="1" style="40" customWidth="1"/>
    <col min="9789" max="9789" width="4.85546875" style="40" bestFit="1" customWidth="1"/>
    <col min="9790" max="9790" width="7" style="40" customWidth="1"/>
    <col min="9791" max="9791" width="7.42578125" style="40" customWidth="1"/>
    <col min="9792" max="9792" width="7.28515625" style="40" customWidth="1"/>
    <col min="9793" max="9793" width="7.5703125" style="40" customWidth="1"/>
    <col min="9794" max="9794" width="13.5703125" style="40" bestFit="1" customWidth="1"/>
    <col min="9795" max="9795" width="24.140625" style="40" bestFit="1" customWidth="1"/>
    <col min="9796" max="9797" width="5.7109375" style="40" bestFit="1" customWidth="1"/>
    <col min="9798" max="9798" width="5.28515625" style="40" bestFit="1" customWidth="1"/>
    <col min="9799" max="9985" width="9.140625" style="40"/>
    <col min="9986" max="9986" width="2.28515625" style="40" customWidth="1"/>
    <col min="9987" max="9988" width="8.42578125" style="40" customWidth="1"/>
    <col min="9989" max="9989" width="13.5703125" style="40" customWidth="1"/>
    <col min="9990" max="10000" width="4.7109375" style="40" customWidth="1"/>
    <col min="10001" max="10001" width="3.85546875" style="40" customWidth="1"/>
    <col min="10002" max="10002" width="5" style="40" customWidth="1"/>
    <col min="10003" max="10003" width="3.5703125" style="40" customWidth="1"/>
    <col min="10004" max="10004" width="5.140625" style="40" customWidth="1"/>
    <col min="10005" max="10005" width="3.85546875" style="40" customWidth="1"/>
    <col min="10006" max="10006" width="4.7109375" style="40" customWidth="1"/>
    <col min="10007" max="10007" width="4.140625" style="40" customWidth="1"/>
    <col min="10008" max="10008" width="5" style="40" customWidth="1"/>
    <col min="10009" max="10009" width="4" style="40" customWidth="1"/>
    <col min="10010" max="10010" width="4.85546875" style="40" customWidth="1"/>
    <col min="10011" max="10011" width="4.42578125" style="40" bestFit="1" customWidth="1"/>
    <col min="10012" max="10033" width="0" style="40" hidden="1" customWidth="1"/>
    <col min="10034" max="10034" width="0.7109375" style="40" customWidth="1"/>
    <col min="10035" max="10035" width="12.85546875" style="40" bestFit="1" customWidth="1"/>
    <col min="10036" max="10036" width="7.7109375" style="40" bestFit="1" customWidth="1"/>
    <col min="10037" max="10037" width="10.85546875" style="40" bestFit="1" customWidth="1"/>
    <col min="10038" max="10039" width="6.5703125" style="40" bestFit="1" customWidth="1"/>
    <col min="10040" max="10040" width="4.5703125" style="40" bestFit="1" customWidth="1"/>
    <col min="10041" max="10041" width="7.7109375" style="40" bestFit="1" customWidth="1"/>
    <col min="10042" max="10042" width="6.5703125" style="40" bestFit="1" customWidth="1"/>
    <col min="10043" max="10043" width="6.140625" style="40" bestFit="1" customWidth="1"/>
    <col min="10044" max="10044" width="1" style="40" customWidth="1"/>
    <col min="10045" max="10045" width="4.85546875" style="40" bestFit="1" customWidth="1"/>
    <col min="10046" max="10046" width="7" style="40" customWidth="1"/>
    <col min="10047" max="10047" width="7.42578125" style="40" customWidth="1"/>
    <col min="10048" max="10048" width="7.28515625" style="40" customWidth="1"/>
    <col min="10049" max="10049" width="7.5703125" style="40" customWidth="1"/>
    <col min="10050" max="10050" width="13.5703125" style="40" bestFit="1" customWidth="1"/>
    <col min="10051" max="10051" width="24.140625" style="40" bestFit="1" customWidth="1"/>
    <col min="10052" max="10053" width="5.7109375" style="40" bestFit="1" customWidth="1"/>
    <col min="10054" max="10054" width="5.28515625" style="40" bestFit="1" customWidth="1"/>
    <col min="10055" max="10241" width="9.140625" style="40"/>
    <col min="10242" max="10242" width="2.28515625" style="40" customWidth="1"/>
    <col min="10243" max="10244" width="8.42578125" style="40" customWidth="1"/>
    <col min="10245" max="10245" width="13.5703125" style="40" customWidth="1"/>
    <col min="10246" max="10256" width="4.7109375" style="40" customWidth="1"/>
    <col min="10257" max="10257" width="3.85546875" style="40" customWidth="1"/>
    <col min="10258" max="10258" width="5" style="40" customWidth="1"/>
    <col min="10259" max="10259" width="3.5703125" style="40" customWidth="1"/>
    <col min="10260" max="10260" width="5.140625" style="40" customWidth="1"/>
    <col min="10261" max="10261" width="3.85546875" style="40" customWidth="1"/>
    <col min="10262" max="10262" width="4.7109375" style="40" customWidth="1"/>
    <col min="10263" max="10263" width="4.140625" style="40" customWidth="1"/>
    <col min="10264" max="10264" width="5" style="40" customWidth="1"/>
    <col min="10265" max="10265" width="4" style="40" customWidth="1"/>
    <col min="10266" max="10266" width="4.85546875" style="40" customWidth="1"/>
    <col min="10267" max="10267" width="4.42578125" style="40" bestFit="1" customWidth="1"/>
    <col min="10268" max="10289" width="0" style="40" hidden="1" customWidth="1"/>
    <col min="10290" max="10290" width="0.7109375" style="40" customWidth="1"/>
    <col min="10291" max="10291" width="12.85546875" style="40" bestFit="1" customWidth="1"/>
    <col min="10292" max="10292" width="7.7109375" style="40" bestFit="1" customWidth="1"/>
    <col min="10293" max="10293" width="10.85546875" style="40" bestFit="1" customWidth="1"/>
    <col min="10294" max="10295" width="6.5703125" style="40" bestFit="1" customWidth="1"/>
    <col min="10296" max="10296" width="4.5703125" style="40" bestFit="1" customWidth="1"/>
    <col min="10297" max="10297" width="7.7109375" style="40" bestFit="1" customWidth="1"/>
    <col min="10298" max="10298" width="6.5703125" style="40" bestFit="1" customWidth="1"/>
    <col min="10299" max="10299" width="6.140625" style="40" bestFit="1" customWidth="1"/>
    <col min="10300" max="10300" width="1" style="40" customWidth="1"/>
    <col min="10301" max="10301" width="4.85546875" style="40" bestFit="1" customWidth="1"/>
    <col min="10302" max="10302" width="7" style="40" customWidth="1"/>
    <col min="10303" max="10303" width="7.42578125" style="40" customWidth="1"/>
    <col min="10304" max="10304" width="7.28515625" style="40" customWidth="1"/>
    <col min="10305" max="10305" width="7.5703125" style="40" customWidth="1"/>
    <col min="10306" max="10306" width="13.5703125" style="40" bestFit="1" customWidth="1"/>
    <col min="10307" max="10307" width="24.140625" style="40" bestFit="1" customWidth="1"/>
    <col min="10308" max="10309" width="5.7109375" style="40" bestFit="1" customWidth="1"/>
    <col min="10310" max="10310" width="5.28515625" style="40" bestFit="1" customWidth="1"/>
    <col min="10311" max="10497" width="9.140625" style="40"/>
    <col min="10498" max="10498" width="2.28515625" style="40" customWidth="1"/>
    <col min="10499" max="10500" width="8.42578125" style="40" customWidth="1"/>
    <col min="10501" max="10501" width="13.5703125" style="40" customWidth="1"/>
    <col min="10502" max="10512" width="4.7109375" style="40" customWidth="1"/>
    <col min="10513" max="10513" width="3.85546875" style="40" customWidth="1"/>
    <col min="10514" max="10514" width="5" style="40" customWidth="1"/>
    <col min="10515" max="10515" width="3.5703125" style="40" customWidth="1"/>
    <col min="10516" max="10516" width="5.140625" style="40" customWidth="1"/>
    <col min="10517" max="10517" width="3.85546875" style="40" customWidth="1"/>
    <col min="10518" max="10518" width="4.7109375" style="40" customWidth="1"/>
    <col min="10519" max="10519" width="4.140625" style="40" customWidth="1"/>
    <col min="10520" max="10520" width="5" style="40" customWidth="1"/>
    <col min="10521" max="10521" width="4" style="40" customWidth="1"/>
    <col min="10522" max="10522" width="4.85546875" style="40" customWidth="1"/>
    <col min="10523" max="10523" width="4.42578125" style="40" bestFit="1" customWidth="1"/>
    <col min="10524" max="10545" width="0" style="40" hidden="1" customWidth="1"/>
    <col min="10546" max="10546" width="0.7109375" style="40" customWidth="1"/>
    <col min="10547" max="10547" width="12.85546875" style="40" bestFit="1" customWidth="1"/>
    <col min="10548" max="10548" width="7.7109375" style="40" bestFit="1" customWidth="1"/>
    <col min="10549" max="10549" width="10.85546875" style="40" bestFit="1" customWidth="1"/>
    <col min="10550" max="10551" width="6.5703125" style="40" bestFit="1" customWidth="1"/>
    <col min="10552" max="10552" width="4.5703125" style="40" bestFit="1" customWidth="1"/>
    <col min="10553" max="10553" width="7.7109375" style="40" bestFit="1" customWidth="1"/>
    <col min="10554" max="10554" width="6.5703125" style="40" bestFit="1" customWidth="1"/>
    <col min="10555" max="10555" width="6.140625" style="40" bestFit="1" customWidth="1"/>
    <col min="10556" max="10556" width="1" style="40" customWidth="1"/>
    <col min="10557" max="10557" width="4.85546875" style="40" bestFit="1" customWidth="1"/>
    <col min="10558" max="10558" width="7" style="40" customWidth="1"/>
    <col min="10559" max="10559" width="7.42578125" style="40" customWidth="1"/>
    <col min="10560" max="10560" width="7.28515625" style="40" customWidth="1"/>
    <col min="10561" max="10561" width="7.5703125" style="40" customWidth="1"/>
    <col min="10562" max="10562" width="13.5703125" style="40" bestFit="1" customWidth="1"/>
    <col min="10563" max="10563" width="24.140625" style="40" bestFit="1" customWidth="1"/>
    <col min="10564" max="10565" width="5.7109375" style="40" bestFit="1" customWidth="1"/>
    <col min="10566" max="10566" width="5.28515625" style="40" bestFit="1" customWidth="1"/>
    <col min="10567" max="10753" width="9.140625" style="40"/>
    <col min="10754" max="10754" width="2.28515625" style="40" customWidth="1"/>
    <col min="10755" max="10756" width="8.42578125" style="40" customWidth="1"/>
    <col min="10757" max="10757" width="13.5703125" style="40" customWidth="1"/>
    <col min="10758" max="10768" width="4.7109375" style="40" customWidth="1"/>
    <col min="10769" max="10769" width="3.85546875" style="40" customWidth="1"/>
    <col min="10770" max="10770" width="5" style="40" customWidth="1"/>
    <col min="10771" max="10771" width="3.5703125" style="40" customWidth="1"/>
    <col min="10772" max="10772" width="5.140625" style="40" customWidth="1"/>
    <col min="10773" max="10773" width="3.85546875" style="40" customWidth="1"/>
    <col min="10774" max="10774" width="4.7109375" style="40" customWidth="1"/>
    <col min="10775" max="10775" width="4.140625" style="40" customWidth="1"/>
    <col min="10776" max="10776" width="5" style="40" customWidth="1"/>
    <col min="10777" max="10777" width="4" style="40" customWidth="1"/>
    <col min="10778" max="10778" width="4.85546875" style="40" customWidth="1"/>
    <col min="10779" max="10779" width="4.42578125" style="40" bestFit="1" customWidth="1"/>
    <col min="10780" max="10801" width="0" style="40" hidden="1" customWidth="1"/>
    <col min="10802" max="10802" width="0.7109375" style="40" customWidth="1"/>
    <col min="10803" max="10803" width="12.85546875" style="40" bestFit="1" customWidth="1"/>
    <col min="10804" max="10804" width="7.7109375" style="40" bestFit="1" customWidth="1"/>
    <col min="10805" max="10805" width="10.85546875" style="40" bestFit="1" customWidth="1"/>
    <col min="10806" max="10807" width="6.5703125" style="40" bestFit="1" customWidth="1"/>
    <col min="10808" max="10808" width="4.5703125" style="40" bestFit="1" customWidth="1"/>
    <col min="10809" max="10809" width="7.7109375" style="40" bestFit="1" customWidth="1"/>
    <col min="10810" max="10810" width="6.5703125" style="40" bestFit="1" customWidth="1"/>
    <col min="10811" max="10811" width="6.140625" style="40" bestFit="1" customWidth="1"/>
    <col min="10812" max="10812" width="1" style="40" customWidth="1"/>
    <col min="10813" max="10813" width="4.85546875" style="40" bestFit="1" customWidth="1"/>
    <col min="10814" max="10814" width="7" style="40" customWidth="1"/>
    <col min="10815" max="10815" width="7.42578125" style="40" customWidth="1"/>
    <col min="10816" max="10816" width="7.28515625" style="40" customWidth="1"/>
    <col min="10817" max="10817" width="7.5703125" style="40" customWidth="1"/>
    <col min="10818" max="10818" width="13.5703125" style="40" bestFit="1" customWidth="1"/>
    <col min="10819" max="10819" width="24.140625" style="40" bestFit="1" customWidth="1"/>
    <col min="10820" max="10821" width="5.7109375" style="40" bestFit="1" customWidth="1"/>
    <col min="10822" max="10822" width="5.28515625" style="40" bestFit="1" customWidth="1"/>
    <col min="10823" max="11009" width="9.140625" style="40"/>
    <col min="11010" max="11010" width="2.28515625" style="40" customWidth="1"/>
    <col min="11011" max="11012" width="8.42578125" style="40" customWidth="1"/>
    <col min="11013" max="11013" width="13.5703125" style="40" customWidth="1"/>
    <col min="11014" max="11024" width="4.7109375" style="40" customWidth="1"/>
    <col min="11025" max="11025" width="3.85546875" style="40" customWidth="1"/>
    <col min="11026" max="11026" width="5" style="40" customWidth="1"/>
    <col min="11027" max="11027" width="3.5703125" style="40" customWidth="1"/>
    <col min="11028" max="11028" width="5.140625" style="40" customWidth="1"/>
    <col min="11029" max="11029" width="3.85546875" style="40" customWidth="1"/>
    <col min="11030" max="11030" width="4.7109375" style="40" customWidth="1"/>
    <col min="11031" max="11031" width="4.140625" style="40" customWidth="1"/>
    <col min="11032" max="11032" width="5" style="40" customWidth="1"/>
    <col min="11033" max="11033" width="4" style="40" customWidth="1"/>
    <col min="11034" max="11034" width="4.85546875" style="40" customWidth="1"/>
    <col min="11035" max="11035" width="4.42578125" style="40" bestFit="1" customWidth="1"/>
    <col min="11036" max="11057" width="0" style="40" hidden="1" customWidth="1"/>
    <col min="11058" max="11058" width="0.7109375" style="40" customWidth="1"/>
    <col min="11059" max="11059" width="12.85546875" style="40" bestFit="1" customWidth="1"/>
    <col min="11060" max="11060" width="7.7109375" style="40" bestFit="1" customWidth="1"/>
    <col min="11061" max="11061" width="10.85546875" style="40" bestFit="1" customWidth="1"/>
    <col min="11062" max="11063" width="6.5703125" style="40" bestFit="1" customWidth="1"/>
    <col min="11064" max="11064" width="4.5703125" style="40" bestFit="1" customWidth="1"/>
    <col min="11065" max="11065" width="7.7109375" style="40" bestFit="1" customWidth="1"/>
    <col min="11066" max="11066" width="6.5703125" style="40" bestFit="1" customWidth="1"/>
    <col min="11067" max="11067" width="6.140625" style="40" bestFit="1" customWidth="1"/>
    <col min="11068" max="11068" width="1" style="40" customWidth="1"/>
    <col min="11069" max="11069" width="4.85546875" style="40" bestFit="1" customWidth="1"/>
    <col min="11070" max="11070" width="7" style="40" customWidth="1"/>
    <col min="11071" max="11071" width="7.42578125" style="40" customWidth="1"/>
    <col min="11072" max="11072" width="7.28515625" style="40" customWidth="1"/>
    <col min="11073" max="11073" width="7.5703125" style="40" customWidth="1"/>
    <col min="11074" max="11074" width="13.5703125" style="40" bestFit="1" customWidth="1"/>
    <col min="11075" max="11075" width="24.140625" style="40" bestFit="1" customWidth="1"/>
    <col min="11076" max="11077" width="5.7109375" style="40" bestFit="1" customWidth="1"/>
    <col min="11078" max="11078" width="5.28515625" style="40" bestFit="1" customWidth="1"/>
    <col min="11079" max="11265" width="9.140625" style="40"/>
    <col min="11266" max="11266" width="2.28515625" style="40" customWidth="1"/>
    <col min="11267" max="11268" width="8.42578125" style="40" customWidth="1"/>
    <col min="11269" max="11269" width="13.5703125" style="40" customWidth="1"/>
    <col min="11270" max="11280" width="4.7109375" style="40" customWidth="1"/>
    <col min="11281" max="11281" width="3.85546875" style="40" customWidth="1"/>
    <col min="11282" max="11282" width="5" style="40" customWidth="1"/>
    <col min="11283" max="11283" width="3.5703125" style="40" customWidth="1"/>
    <col min="11284" max="11284" width="5.140625" style="40" customWidth="1"/>
    <col min="11285" max="11285" width="3.85546875" style="40" customWidth="1"/>
    <col min="11286" max="11286" width="4.7109375" style="40" customWidth="1"/>
    <col min="11287" max="11287" width="4.140625" style="40" customWidth="1"/>
    <col min="11288" max="11288" width="5" style="40" customWidth="1"/>
    <col min="11289" max="11289" width="4" style="40" customWidth="1"/>
    <col min="11290" max="11290" width="4.85546875" style="40" customWidth="1"/>
    <col min="11291" max="11291" width="4.42578125" style="40" bestFit="1" customWidth="1"/>
    <col min="11292" max="11313" width="0" style="40" hidden="1" customWidth="1"/>
    <col min="11314" max="11314" width="0.7109375" style="40" customWidth="1"/>
    <col min="11315" max="11315" width="12.85546875" style="40" bestFit="1" customWidth="1"/>
    <col min="11316" max="11316" width="7.7109375" style="40" bestFit="1" customWidth="1"/>
    <col min="11317" max="11317" width="10.85546875" style="40" bestFit="1" customWidth="1"/>
    <col min="11318" max="11319" width="6.5703125" style="40" bestFit="1" customWidth="1"/>
    <col min="11320" max="11320" width="4.5703125" style="40" bestFit="1" customWidth="1"/>
    <col min="11321" max="11321" width="7.7109375" style="40" bestFit="1" customWidth="1"/>
    <col min="11322" max="11322" width="6.5703125" style="40" bestFit="1" customWidth="1"/>
    <col min="11323" max="11323" width="6.140625" style="40" bestFit="1" customWidth="1"/>
    <col min="11324" max="11324" width="1" style="40" customWidth="1"/>
    <col min="11325" max="11325" width="4.85546875" style="40" bestFit="1" customWidth="1"/>
    <col min="11326" max="11326" width="7" style="40" customWidth="1"/>
    <col min="11327" max="11327" width="7.42578125" style="40" customWidth="1"/>
    <col min="11328" max="11328" width="7.28515625" style="40" customWidth="1"/>
    <col min="11329" max="11329" width="7.5703125" style="40" customWidth="1"/>
    <col min="11330" max="11330" width="13.5703125" style="40" bestFit="1" customWidth="1"/>
    <col min="11331" max="11331" width="24.140625" style="40" bestFit="1" customWidth="1"/>
    <col min="11332" max="11333" width="5.7109375" style="40" bestFit="1" customWidth="1"/>
    <col min="11334" max="11334" width="5.28515625" style="40" bestFit="1" customWidth="1"/>
    <col min="11335" max="11521" width="9.140625" style="40"/>
    <col min="11522" max="11522" width="2.28515625" style="40" customWidth="1"/>
    <col min="11523" max="11524" width="8.42578125" style="40" customWidth="1"/>
    <col min="11525" max="11525" width="13.5703125" style="40" customWidth="1"/>
    <col min="11526" max="11536" width="4.7109375" style="40" customWidth="1"/>
    <col min="11537" max="11537" width="3.85546875" style="40" customWidth="1"/>
    <col min="11538" max="11538" width="5" style="40" customWidth="1"/>
    <col min="11539" max="11539" width="3.5703125" style="40" customWidth="1"/>
    <col min="11540" max="11540" width="5.140625" style="40" customWidth="1"/>
    <col min="11541" max="11541" width="3.85546875" style="40" customWidth="1"/>
    <col min="11542" max="11542" width="4.7109375" style="40" customWidth="1"/>
    <col min="11543" max="11543" width="4.140625" style="40" customWidth="1"/>
    <col min="11544" max="11544" width="5" style="40" customWidth="1"/>
    <col min="11545" max="11545" width="4" style="40" customWidth="1"/>
    <col min="11546" max="11546" width="4.85546875" style="40" customWidth="1"/>
    <col min="11547" max="11547" width="4.42578125" style="40" bestFit="1" customWidth="1"/>
    <col min="11548" max="11569" width="0" style="40" hidden="1" customWidth="1"/>
    <col min="11570" max="11570" width="0.7109375" style="40" customWidth="1"/>
    <col min="11571" max="11571" width="12.85546875" style="40" bestFit="1" customWidth="1"/>
    <col min="11572" max="11572" width="7.7109375" style="40" bestFit="1" customWidth="1"/>
    <col min="11573" max="11573" width="10.85546875" style="40" bestFit="1" customWidth="1"/>
    <col min="11574" max="11575" width="6.5703125" style="40" bestFit="1" customWidth="1"/>
    <col min="11576" max="11576" width="4.5703125" style="40" bestFit="1" customWidth="1"/>
    <col min="11577" max="11577" width="7.7109375" style="40" bestFit="1" customWidth="1"/>
    <col min="11578" max="11578" width="6.5703125" style="40" bestFit="1" customWidth="1"/>
    <col min="11579" max="11579" width="6.140625" style="40" bestFit="1" customWidth="1"/>
    <col min="11580" max="11580" width="1" style="40" customWidth="1"/>
    <col min="11581" max="11581" width="4.85546875" style="40" bestFit="1" customWidth="1"/>
    <col min="11582" max="11582" width="7" style="40" customWidth="1"/>
    <col min="11583" max="11583" width="7.42578125" style="40" customWidth="1"/>
    <col min="11584" max="11584" width="7.28515625" style="40" customWidth="1"/>
    <col min="11585" max="11585" width="7.5703125" style="40" customWidth="1"/>
    <col min="11586" max="11586" width="13.5703125" style="40" bestFit="1" customWidth="1"/>
    <col min="11587" max="11587" width="24.140625" style="40" bestFit="1" customWidth="1"/>
    <col min="11588" max="11589" width="5.7109375" style="40" bestFit="1" customWidth="1"/>
    <col min="11590" max="11590" width="5.28515625" style="40" bestFit="1" customWidth="1"/>
    <col min="11591" max="11777" width="9.140625" style="40"/>
    <col min="11778" max="11778" width="2.28515625" style="40" customWidth="1"/>
    <col min="11779" max="11780" width="8.42578125" style="40" customWidth="1"/>
    <col min="11781" max="11781" width="13.5703125" style="40" customWidth="1"/>
    <col min="11782" max="11792" width="4.7109375" style="40" customWidth="1"/>
    <col min="11793" max="11793" width="3.85546875" style="40" customWidth="1"/>
    <col min="11794" max="11794" width="5" style="40" customWidth="1"/>
    <col min="11795" max="11795" width="3.5703125" style="40" customWidth="1"/>
    <col min="11796" max="11796" width="5.140625" style="40" customWidth="1"/>
    <col min="11797" max="11797" width="3.85546875" style="40" customWidth="1"/>
    <col min="11798" max="11798" width="4.7109375" style="40" customWidth="1"/>
    <col min="11799" max="11799" width="4.140625" style="40" customWidth="1"/>
    <col min="11800" max="11800" width="5" style="40" customWidth="1"/>
    <col min="11801" max="11801" width="4" style="40" customWidth="1"/>
    <col min="11802" max="11802" width="4.85546875" style="40" customWidth="1"/>
    <col min="11803" max="11803" width="4.42578125" style="40" bestFit="1" customWidth="1"/>
    <col min="11804" max="11825" width="0" style="40" hidden="1" customWidth="1"/>
    <col min="11826" max="11826" width="0.7109375" style="40" customWidth="1"/>
    <col min="11827" max="11827" width="12.85546875" style="40" bestFit="1" customWidth="1"/>
    <col min="11828" max="11828" width="7.7109375" style="40" bestFit="1" customWidth="1"/>
    <col min="11829" max="11829" width="10.85546875" style="40" bestFit="1" customWidth="1"/>
    <col min="11830" max="11831" width="6.5703125" style="40" bestFit="1" customWidth="1"/>
    <col min="11832" max="11832" width="4.5703125" style="40" bestFit="1" customWidth="1"/>
    <col min="11833" max="11833" width="7.7109375" style="40" bestFit="1" customWidth="1"/>
    <col min="11834" max="11834" width="6.5703125" style="40" bestFit="1" customWidth="1"/>
    <col min="11835" max="11835" width="6.140625" style="40" bestFit="1" customWidth="1"/>
    <col min="11836" max="11836" width="1" style="40" customWidth="1"/>
    <col min="11837" max="11837" width="4.85546875" style="40" bestFit="1" customWidth="1"/>
    <col min="11838" max="11838" width="7" style="40" customWidth="1"/>
    <col min="11839" max="11839" width="7.42578125" style="40" customWidth="1"/>
    <col min="11840" max="11840" width="7.28515625" style="40" customWidth="1"/>
    <col min="11841" max="11841" width="7.5703125" style="40" customWidth="1"/>
    <col min="11842" max="11842" width="13.5703125" style="40" bestFit="1" customWidth="1"/>
    <col min="11843" max="11843" width="24.140625" style="40" bestFit="1" customWidth="1"/>
    <col min="11844" max="11845" width="5.7109375" style="40" bestFit="1" customWidth="1"/>
    <col min="11846" max="11846" width="5.28515625" style="40" bestFit="1" customWidth="1"/>
    <col min="11847" max="12033" width="9.140625" style="40"/>
    <col min="12034" max="12034" width="2.28515625" style="40" customWidth="1"/>
    <col min="12035" max="12036" width="8.42578125" style="40" customWidth="1"/>
    <col min="12037" max="12037" width="13.5703125" style="40" customWidth="1"/>
    <col min="12038" max="12048" width="4.7109375" style="40" customWidth="1"/>
    <col min="12049" max="12049" width="3.85546875" style="40" customWidth="1"/>
    <col min="12050" max="12050" width="5" style="40" customWidth="1"/>
    <col min="12051" max="12051" width="3.5703125" style="40" customWidth="1"/>
    <col min="12052" max="12052" width="5.140625" style="40" customWidth="1"/>
    <col min="12053" max="12053" width="3.85546875" style="40" customWidth="1"/>
    <col min="12054" max="12054" width="4.7109375" style="40" customWidth="1"/>
    <col min="12055" max="12055" width="4.140625" style="40" customWidth="1"/>
    <col min="12056" max="12056" width="5" style="40" customWidth="1"/>
    <col min="12057" max="12057" width="4" style="40" customWidth="1"/>
    <col min="12058" max="12058" width="4.85546875" style="40" customWidth="1"/>
    <col min="12059" max="12059" width="4.42578125" style="40" bestFit="1" customWidth="1"/>
    <col min="12060" max="12081" width="0" style="40" hidden="1" customWidth="1"/>
    <col min="12082" max="12082" width="0.7109375" style="40" customWidth="1"/>
    <col min="12083" max="12083" width="12.85546875" style="40" bestFit="1" customWidth="1"/>
    <col min="12084" max="12084" width="7.7109375" style="40" bestFit="1" customWidth="1"/>
    <col min="12085" max="12085" width="10.85546875" style="40" bestFit="1" customWidth="1"/>
    <col min="12086" max="12087" width="6.5703125" style="40" bestFit="1" customWidth="1"/>
    <col min="12088" max="12088" width="4.5703125" style="40" bestFit="1" customWidth="1"/>
    <col min="12089" max="12089" width="7.7109375" style="40" bestFit="1" customWidth="1"/>
    <col min="12090" max="12090" width="6.5703125" style="40" bestFit="1" customWidth="1"/>
    <col min="12091" max="12091" width="6.140625" style="40" bestFit="1" customWidth="1"/>
    <col min="12092" max="12092" width="1" style="40" customWidth="1"/>
    <col min="12093" max="12093" width="4.85546875" style="40" bestFit="1" customWidth="1"/>
    <col min="12094" max="12094" width="7" style="40" customWidth="1"/>
    <col min="12095" max="12095" width="7.42578125" style="40" customWidth="1"/>
    <col min="12096" max="12096" width="7.28515625" style="40" customWidth="1"/>
    <col min="12097" max="12097" width="7.5703125" style="40" customWidth="1"/>
    <col min="12098" max="12098" width="13.5703125" style="40" bestFit="1" customWidth="1"/>
    <col min="12099" max="12099" width="24.140625" style="40" bestFit="1" customWidth="1"/>
    <col min="12100" max="12101" width="5.7109375" style="40" bestFit="1" customWidth="1"/>
    <col min="12102" max="12102" width="5.28515625" style="40" bestFit="1" customWidth="1"/>
    <col min="12103" max="12289" width="9.140625" style="40"/>
    <col min="12290" max="12290" width="2.28515625" style="40" customWidth="1"/>
    <col min="12291" max="12292" width="8.42578125" style="40" customWidth="1"/>
    <col min="12293" max="12293" width="13.5703125" style="40" customWidth="1"/>
    <col min="12294" max="12304" width="4.7109375" style="40" customWidth="1"/>
    <col min="12305" max="12305" width="3.85546875" style="40" customWidth="1"/>
    <col min="12306" max="12306" width="5" style="40" customWidth="1"/>
    <col min="12307" max="12307" width="3.5703125" style="40" customWidth="1"/>
    <col min="12308" max="12308" width="5.140625" style="40" customWidth="1"/>
    <col min="12309" max="12309" width="3.85546875" style="40" customWidth="1"/>
    <col min="12310" max="12310" width="4.7109375" style="40" customWidth="1"/>
    <col min="12311" max="12311" width="4.140625" style="40" customWidth="1"/>
    <col min="12312" max="12312" width="5" style="40" customWidth="1"/>
    <col min="12313" max="12313" width="4" style="40" customWidth="1"/>
    <col min="12314" max="12314" width="4.85546875" style="40" customWidth="1"/>
    <col min="12315" max="12315" width="4.42578125" style="40" bestFit="1" customWidth="1"/>
    <col min="12316" max="12337" width="0" style="40" hidden="1" customWidth="1"/>
    <col min="12338" max="12338" width="0.7109375" style="40" customWidth="1"/>
    <col min="12339" max="12339" width="12.85546875" style="40" bestFit="1" customWidth="1"/>
    <col min="12340" max="12340" width="7.7109375" style="40" bestFit="1" customWidth="1"/>
    <col min="12341" max="12341" width="10.85546875" style="40" bestFit="1" customWidth="1"/>
    <col min="12342" max="12343" width="6.5703125" style="40" bestFit="1" customWidth="1"/>
    <col min="12344" max="12344" width="4.5703125" style="40" bestFit="1" customWidth="1"/>
    <col min="12345" max="12345" width="7.7109375" style="40" bestFit="1" customWidth="1"/>
    <col min="12346" max="12346" width="6.5703125" style="40" bestFit="1" customWidth="1"/>
    <col min="12347" max="12347" width="6.140625" style="40" bestFit="1" customWidth="1"/>
    <col min="12348" max="12348" width="1" style="40" customWidth="1"/>
    <col min="12349" max="12349" width="4.85546875" style="40" bestFit="1" customWidth="1"/>
    <col min="12350" max="12350" width="7" style="40" customWidth="1"/>
    <col min="12351" max="12351" width="7.42578125" style="40" customWidth="1"/>
    <col min="12352" max="12352" width="7.28515625" style="40" customWidth="1"/>
    <col min="12353" max="12353" width="7.5703125" style="40" customWidth="1"/>
    <col min="12354" max="12354" width="13.5703125" style="40" bestFit="1" customWidth="1"/>
    <col min="12355" max="12355" width="24.140625" style="40" bestFit="1" customWidth="1"/>
    <col min="12356" max="12357" width="5.7109375" style="40" bestFit="1" customWidth="1"/>
    <col min="12358" max="12358" width="5.28515625" style="40" bestFit="1" customWidth="1"/>
    <col min="12359" max="12545" width="9.140625" style="40"/>
    <col min="12546" max="12546" width="2.28515625" style="40" customWidth="1"/>
    <col min="12547" max="12548" width="8.42578125" style="40" customWidth="1"/>
    <col min="12549" max="12549" width="13.5703125" style="40" customWidth="1"/>
    <col min="12550" max="12560" width="4.7109375" style="40" customWidth="1"/>
    <col min="12561" max="12561" width="3.85546875" style="40" customWidth="1"/>
    <col min="12562" max="12562" width="5" style="40" customWidth="1"/>
    <col min="12563" max="12563" width="3.5703125" style="40" customWidth="1"/>
    <col min="12564" max="12564" width="5.140625" style="40" customWidth="1"/>
    <col min="12565" max="12565" width="3.85546875" style="40" customWidth="1"/>
    <col min="12566" max="12566" width="4.7109375" style="40" customWidth="1"/>
    <col min="12567" max="12567" width="4.140625" style="40" customWidth="1"/>
    <col min="12568" max="12568" width="5" style="40" customWidth="1"/>
    <col min="12569" max="12569" width="4" style="40" customWidth="1"/>
    <col min="12570" max="12570" width="4.85546875" style="40" customWidth="1"/>
    <col min="12571" max="12571" width="4.42578125" style="40" bestFit="1" customWidth="1"/>
    <col min="12572" max="12593" width="0" style="40" hidden="1" customWidth="1"/>
    <col min="12594" max="12594" width="0.7109375" style="40" customWidth="1"/>
    <col min="12595" max="12595" width="12.85546875" style="40" bestFit="1" customWidth="1"/>
    <col min="12596" max="12596" width="7.7109375" style="40" bestFit="1" customWidth="1"/>
    <col min="12597" max="12597" width="10.85546875" style="40" bestFit="1" customWidth="1"/>
    <col min="12598" max="12599" width="6.5703125" style="40" bestFit="1" customWidth="1"/>
    <col min="12600" max="12600" width="4.5703125" style="40" bestFit="1" customWidth="1"/>
    <col min="12601" max="12601" width="7.7109375" style="40" bestFit="1" customWidth="1"/>
    <col min="12602" max="12602" width="6.5703125" style="40" bestFit="1" customWidth="1"/>
    <col min="12603" max="12603" width="6.140625" style="40" bestFit="1" customWidth="1"/>
    <col min="12604" max="12604" width="1" style="40" customWidth="1"/>
    <col min="12605" max="12605" width="4.85546875" style="40" bestFit="1" customWidth="1"/>
    <col min="12606" max="12606" width="7" style="40" customWidth="1"/>
    <col min="12607" max="12607" width="7.42578125" style="40" customWidth="1"/>
    <col min="12608" max="12608" width="7.28515625" style="40" customWidth="1"/>
    <col min="12609" max="12609" width="7.5703125" style="40" customWidth="1"/>
    <col min="12610" max="12610" width="13.5703125" style="40" bestFit="1" customWidth="1"/>
    <col min="12611" max="12611" width="24.140625" style="40" bestFit="1" customWidth="1"/>
    <col min="12612" max="12613" width="5.7109375" style="40" bestFit="1" customWidth="1"/>
    <col min="12614" max="12614" width="5.28515625" style="40" bestFit="1" customWidth="1"/>
    <col min="12615" max="12801" width="9.140625" style="40"/>
    <col min="12802" max="12802" width="2.28515625" style="40" customWidth="1"/>
    <col min="12803" max="12804" width="8.42578125" style="40" customWidth="1"/>
    <col min="12805" max="12805" width="13.5703125" style="40" customWidth="1"/>
    <col min="12806" max="12816" width="4.7109375" style="40" customWidth="1"/>
    <col min="12817" max="12817" width="3.85546875" style="40" customWidth="1"/>
    <col min="12818" max="12818" width="5" style="40" customWidth="1"/>
    <col min="12819" max="12819" width="3.5703125" style="40" customWidth="1"/>
    <col min="12820" max="12820" width="5.140625" style="40" customWidth="1"/>
    <col min="12821" max="12821" width="3.85546875" style="40" customWidth="1"/>
    <col min="12822" max="12822" width="4.7109375" style="40" customWidth="1"/>
    <col min="12823" max="12823" width="4.140625" style="40" customWidth="1"/>
    <col min="12824" max="12824" width="5" style="40" customWidth="1"/>
    <col min="12825" max="12825" width="4" style="40" customWidth="1"/>
    <col min="12826" max="12826" width="4.85546875" style="40" customWidth="1"/>
    <col min="12827" max="12827" width="4.42578125" style="40" bestFit="1" customWidth="1"/>
    <col min="12828" max="12849" width="0" style="40" hidden="1" customWidth="1"/>
    <col min="12850" max="12850" width="0.7109375" style="40" customWidth="1"/>
    <col min="12851" max="12851" width="12.85546875" style="40" bestFit="1" customWidth="1"/>
    <col min="12852" max="12852" width="7.7109375" style="40" bestFit="1" customWidth="1"/>
    <col min="12853" max="12853" width="10.85546875" style="40" bestFit="1" customWidth="1"/>
    <col min="12854" max="12855" width="6.5703125" style="40" bestFit="1" customWidth="1"/>
    <col min="12856" max="12856" width="4.5703125" style="40" bestFit="1" customWidth="1"/>
    <col min="12857" max="12857" width="7.7109375" style="40" bestFit="1" customWidth="1"/>
    <col min="12858" max="12858" width="6.5703125" style="40" bestFit="1" customWidth="1"/>
    <col min="12859" max="12859" width="6.140625" style="40" bestFit="1" customWidth="1"/>
    <col min="12860" max="12860" width="1" style="40" customWidth="1"/>
    <col min="12861" max="12861" width="4.85546875" style="40" bestFit="1" customWidth="1"/>
    <col min="12862" max="12862" width="7" style="40" customWidth="1"/>
    <col min="12863" max="12863" width="7.42578125" style="40" customWidth="1"/>
    <col min="12864" max="12864" width="7.28515625" style="40" customWidth="1"/>
    <col min="12865" max="12865" width="7.5703125" style="40" customWidth="1"/>
    <col min="12866" max="12866" width="13.5703125" style="40" bestFit="1" customWidth="1"/>
    <col min="12867" max="12867" width="24.140625" style="40" bestFit="1" customWidth="1"/>
    <col min="12868" max="12869" width="5.7109375" style="40" bestFit="1" customWidth="1"/>
    <col min="12870" max="12870" width="5.28515625" style="40" bestFit="1" customWidth="1"/>
    <col min="12871" max="13057" width="9.140625" style="40"/>
    <col min="13058" max="13058" width="2.28515625" style="40" customWidth="1"/>
    <col min="13059" max="13060" width="8.42578125" style="40" customWidth="1"/>
    <col min="13061" max="13061" width="13.5703125" style="40" customWidth="1"/>
    <col min="13062" max="13072" width="4.7109375" style="40" customWidth="1"/>
    <col min="13073" max="13073" width="3.85546875" style="40" customWidth="1"/>
    <col min="13074" max="13074" width="5" style="40" customWidth="1"/>
    <col min="13075" max="13075" width="3.5703125" style="40" customWidth="1"/>
    <col min="13076" max="13076" width="5.140625" style="40" customWidth="1"/>
    <col min="13077" max="13077" width="3.85546875" style="40" customWidth="1"/>
    <col min="13078" max="13078" width="4.7109375" style="40" customWidth="1"/>
    <col min="13079" max="13079" width="4.140625" style="40" customWidth="1"/>
    <col min="13080" max="13080" width="5" style="40" customWidth="1"/>
    <col min="13081" max="13081" width="4" style="40" customWidth="1"/>
    <col min="13082" max="13082" width="4.85546875" style="40" customWidth="1"/>
    <col min="13083" max="13083" width="4.42578125" style="40" bestFit="1" customWidth="1"/>
    <col min="13084" max="13105" width="0" style="40" hidden="1" customWidth="1"/>
    <col min="13106" max="13106" width="0.7109375" style="40" customWidth="1"/>
    <col min="13107" max="13107" width="12.85546875" style="40" bestFit="1" customWidth="1"/>
    <col min="13108" max="13108" width="7.7109375" style="40" bestFit="1" customWidth="1"/>
    <col min="13109" max="13109" width="10.85546875" style="40" bestFit="1" customWidth="1"/>
    <col min="13110" max="13111" width="6.5703125" style="40" bestFit="1" customWidth="1"/>
    <col min="13112" max="13112" width="4.5703125" style="40" bestFit="1" customWidth="1"/>
    <col min="13113" max="13113" width="7.7109375" style="40" bestFit="1" customWidth="1"/>
    <col min="13114" max="13114" width="6.5703125" style="40" bestFit="1" customWidth="1"/>
    <col min="13115" max="13115" width="6.140625" style="40" bestFit="1" customWidth="1"/>
    <col min="13116" max="13116" width="1" style="40" customWidth="1"/>
    <col min="13117" max="13117" width="4.85546875" style="40" bestFit="1" customWidth="1"/>
    <col min="13118" max="13118" width="7" style="40" customWidth="1"/>
    <col min="13119" max="13119" width="7.42578125" style="40" customWidth="1"/>
    <col min="13120" max="13120" width="7.28515625" style="40" customWidth="1"/>
    <col min="13121" max="13121" width="7.5703125" style="40" customWidth="1"/>
    <col min="13122" max="13122" width="13.5703125" style="40" bestFit="1" customWidth="1"/>
    <col min="13123" max="13123" width="24.140625" style="40" bestFit="1" customWidth="1"/>
    <col min="13124" max="13125" width="5.7109375" style="40" bestFit="1" customWidth="1"/>
    <col min="13126" max="13126" width="5.28515625" style="40" bestFit="1" customWidth="1"/>
    <col min="13127" max="13313" width="9.140625" style="40"/>
    <col min="13314" max="13314" width="2.28515625" style="40" customWidth="1"/>
    <col min="13315" max="13316" width="8.42578125" style="40" customWidth="1"/>
    <col min="13317" max="13317" width="13.5703125" style="40" customWidth="1"/>
    <col min="13318" max="13328" width="4.7109375" style="40" customWidth="1"/>
    <col min="13329" max="13329" width="3.85546875" style="40" customWidth="1"/>
    <col min="13330" max="13330" width="5" style="40" customWidth="1"/>
    <col min="13331" max="13331" width="3.5703125" style="40" customWidth="1"/>
    <col min="13332" max="13332" width="5.140625" style="40" customWidth="1"/>
    <col min="13333" max="13333" width="3.85546875" style="40" customWidth="1"/>
    <col min="13334" max="13334" width="4.7109375" style="40" customWidth="1"/>
    <col min="13335" max="13335" width="4.140625" style="40" customWidth="1"/>
    <col min="13336" max="13336" width="5" style="40" customWidth="1"/>
    <col min="13337" max="13337" width="4" style="40" customWidth="1"/>
    <col min="13338" max="13338" width="4.85546875" style="40" customWidth="1"/>
    <col min="13339" max="13339" width="4.42578125" style="40" bestFit="1" customWidth="1"/>
    <col min="13340" max="13361" width="0" style="40" hidden="1" customWidth="1"/>
    <col min="13362" max="13362" width="0.7109375" style="40" customWidth="1"/>
    <col min="13363" max="13363" width="12.85546875" style="40" bestFit="1" customWidth="1"/>
    <col min="13364" max="13364" width="7.7109375" style="40" bestFit="1" customWidth="1"/>
    <col min="13365" max="13365" width="10.85546875" style="40" bestFit="1" customWidth="1"/>
    <col min="13366" max="13367" width="6.5703125" style="40" bestFit="1" customWidth="1"/>
    <col min="13368" max="13368" width="4.5703125" style="40" bestFit="1" customWidth="1"/>
    <col min="13369" max="13369" width="7.7109375" style="40" bestFit="1" customWidth="1"/>
    <col min="13370" max="13370" width="6.5703125" style="40" bestFit="1" customWidth="1"/>
    <col min="13371" max="13371" width="6.140625" style="40" bestFit="1" customWidth="1"/>
    <col min="13372" max="13372" width="1" style="40" customWidth="1"/>
    <col min="13373" max="13373" width="4.85546875" style="40" bestFit="1" customWidth="1"/>
    <col min="13374" max="13374" width="7" style="40" customWidth="1"/>
    <col min="13375" max="13375" width="7.42578125" style="40" customWidth="1"/>
    <col min="13376" max="13376" width="7.28515625" style="40" customWidth="1"/>
    <col min="13377" max="13377" width="7.5703125" style="40" customWidth="1"/>
    <col min="13378" max="13378" width="13.5703125" style="40" bestFit="1" customWidth="1"/>
    <col min="13379" max="13379" width="24.140625" style="40" bestFit="1" customWidth="1"/>
    <col min="13380" max="13381" width="5.7109375" style="40" bestFit="1" customWidth="1"/>
    <col min="13382" max="13382" width="5.28515625" style="40" bestFit="1" customWidth="1"/>
    <col min="13383" max="13569" width="9.140625" style="40"/>
    <col min="13570" max="13570" width="2.28515625" style="40" customWidth="1"/>
    <col min="13571" max="13572" width="8.42578125" style="40" customWidth="1"/>
    <col min="13573" max="13573" width="13.5703125" style="40" customWidth="1"/>
    <col min="13574" max="13584" width="4.7109375" style="40" customWidth="1"/>
    <col min="13585" max="13585" width="3.85546875" style="40" customWidth="1"/>
    <col min="13586" max="13586" width="5" style="40" customWidth="1"/>
    <col min="13587" max="13587" width="3.5703125" style="40" customWidth="1"/>
    <col min="13588" max="13588" width="5.140625" style="40" customWidth="1"/>
    <col min="13589" max="13589" width="3.85546875" style="40" customWidth="1"/>
    <col min="13590" max="13590" width="4.7109375" style="40" customWidth="1"/>
    <col min="13591" max="13591" width="4.140625" style="40" customWidth="1"/>
    <col min="13592" max="13592" width="5" style="40" customWidth="1"/>
    <col min="13593" max="13593" width="4" style="40" customWidth="1"/>
    <col min="13594" max="13594" width="4.85546875" style="40" customWidth="1"/>
    <col min="13595" max="13595" width="4.42578125" style="40" bestFit="1" customWidth="1"/>
    <col min="13596" max="13617" width="0" style="40" hidden="1" customWidth="1"/>
    <col min="13618" max="13618" width="0.7109375" style="40" customWidth="1"/>
    <col min="13619" max="13619" width="12.85546875" style="40" bestFit="1" customWidth="1"/>
    <col min="13620" max="13620" width="7.7109375" style="40" bestFit="1" customWidth="1"/>
    <col min="13621" max="13621" width="10.85546875" style="40" bestFit="1" customWidth="1"/>
    <col min="13622" max="13623" width="6.5703125" style="40" bestFit="1" customWidth="1"/>
    <col min="13624" max="13624" width="4.5703125" style="40" bestFit="1" customWidth="1"/>
    <col min="13625" max="13625" width="7.7109375" style="40" bestFit="1" customWidth="1"/>
    <col min="13626" max="13626" width="6.5703125" style="40" bestFit="1" customWidth="1"/>
    <col min="13627" max="13627" width="6.140625" style="40" bestFit="1" customWidth="1"/>
    <col min="13628" max="13628" width="1" style="40" customWidth="1"/>
    <col min="13629" max="13629" width="4.85546875" style="40" bestFit="1" customWidth="1"/>
    <col min="13630" max="13630" width="7" style="40" customWidth="1"/>
    <col min="13631" max="13631" width="7.42578125" style="40" customWidth="1"/>
    <col min="13632" max="13632" width="7.28515625" style="40" customWidth="1"/>
    <col min="13633" max="13633" width="7.5703125" style="40" customWidth="1"/>
    <col min="13634" max="13634" width="13.5703125" style="40" bestFit="1" customWidth="1"/>
    <col min="13635" max="13635" width="24.140625" style="40" bestFit="1" customWidth="1"/>
    <col min="13636" max="13637" width="5.7109375" style="40" bestFit="1" customWidth="1"/>
    <col min="13638" max="13638" width="5.28515625" style="40" bestFit="1" customWidth="1"/>
    <col min="13639" max="13825" width="9.140625" style="40"/>
    <col min="13826" max="13826" width="2.28515625" style="40" customWidth="1"/>
    <col min="13827" max="13828" width="8.42578125" style="40" customWidth="1"/>
    <col min="13829" max="13829" width="13.5703125" style="40" customWidth="1"/>
    <col min="13830" max="13840" width="4.7109375" style="40" customWidth="1"/>
    <col min="13841" max="13841" width="3.85546875" style="40" customWidth="1"/>
    <col min="13842" max="13842" width="5" style="40" customWidth="1"/>
    <col min="13843" max="13843" width="3.5703125" style="40" customWidth="1"/>
    <col min="13844" max="13844" width="5.140625" style="40" customWidth="1"/>
    <col min="13845" max="13845" width="3.85546875" style="40" customWidth="1"/>
    <col min="13846" max="13846" width="4.7109375" style="40" customWidth="1"/>
    <col min="13847" max="13847" width="4.140625" style="40" customWidth="1"/>
    <col min="13848" max="13848" width="5" style="40" customWidth="1"/>
    <col min="13849" max="13849" width="4" style="40" customWidth="1"/>
    <col min="13850" max="13850" width="4.85546875" style="40" customWidth="1"/>
    <col min="13851" max="13851" width="4.42578125" style="40" bestFit="1" customWidth="1"/>
    <col min="13852" max="13873" width="0" style="40" hidden="1" customWidth="1"/>
    <col min="13874" max="13874" width="0.7109375" style="40" customWidth="1"/>
    <col min="13875" max="13875" width="12.85546875" style="40" bestFit="1" customWidth="1"/>
    <col min="13876" max="13876" width="7.7109375" style="40" bestFit="1" customWidth="1"/>
    <col min="13877" max="13877" width="10.85546875" style="40" bestFit="1" customWidth="1"/>
    <col min="13878" max="13879" width="6.5703125" style="40" bestFit="1" customWidth="1"/>
    <col min="13880" max="13880" width="4.5703125" style="40" bestFit="1" customWidth="1"/>
    <col min="13881" max="13881" width="7.7109375" style="40" bestFit="1" customWidth="1"/>
    <col min="13882" max="13882" width="6.5703125" style="40" bestFit="1" customWidth="1"/>
    <col min="13883" max="13883" width="6.140625" style="40" bestFit="1" customWidth="1"/>
    <col min="13884" max="13884" width="1" style="40" customWidth="1"/>
    <col min="13885" max="13885" width="4.85546875" style="40" bestFit="1" customWidth="1"/>
    <col min="13886" max="13886" width="7" style="40" customWidth="1"/>
    <col min="13887" max="13887" width="7.42578125" style="40" customWidth="1"/>
    <col min="13888" max="13888" width="7.28515625" style="40" customWidth="1"/>
    <col min="13889" max="13889" width="7.5703125" style="40" customWidth="1"/>
    <col min="13890" max="13890" width="13.5703125" style="40" bestFit="1" customWidth="1"/>
    <col min="13891" max="13891" width="24.140625" style="40" bestFit="1" customWidth="1"/>
    <col min="13892" max="13893" width="5.7109375" style="40" bestFit="1" customWidth="1"/>
    <col min="13894" max="13894" width="5.28515625" style="40" bestFit="1" customWidth="1"/>
    <col min="13895" max="14081" width="9.140625" style="40"/>
    <col min="14082" max="14082" width="2.28515625" style="40" customWidth="1"/>
    <col min="14083" max="14084" width="8.42578125" style="40" customWidth="1"/>
    <col min="14085" max="14085" width="13.5703125" style="40" customWidth="1"/>
    <col min="14086" max="14096" width="4.7109375" style="40" customWidth="1"/>
    <col min="14097" max="14097" width="3.85546875" style="40" customWidth="1"/>
    <col min="14098" max="14098" width="5" style="40" customWidth="1"/>
    <col min="14099" max="14099" width="3.5703125" style="40" customWidth="1"/>
    <col min="14100" max="14100" width="5.140625" style="40" customWidth="1"/>
    <col min="14101" max="14101" width="3.85546875" style="40" customWidth="1"/>
    <col min="14102" max="14102" width="4.7109375" style="40" customWidth="1"/>
    <col min="14103" max="14103" width="4.140625" style="40" customWidth="1"/>
    <col min="14104" max="14104" width="5" style="40" customWidth="1"/>
    <col min="14105" max="14105" width="4" style="40" customWidth="1"/>
    <col min="14106" max="14106" width="4.85546875" style="40" customWidth="1"/>
    <col min="14107" max="14107" width="4.42578125" style="40" bestFit="1" customWidth="1"/>
    <col min="14108" max="14129" width="0" style="40" hidden="1" customWidth="1"/>
    <col min="14130" max="14130" width="0.7109375" style="40" customWidth="1"/>
    <col min="14131" max="14131" width="12.85546875" style="40" bestFit="1" customWidth="1"/>
    <col min="14132" max="14132" width="7.7109375" style="40" bestFit="1" customWidth="1"/>
    <col min="14133" max="14133" width="10.85546875" style="40" bestFit="1" customWidth="1"/>
    <col min="14134" max="14135" width="6.5703125" style="40" bestFit="1" customWidth="1"/>
    <col min="14136" max="14136" width="4.5703125" style="40" bestFit="1" customWidth="1"/>
    <col min="14137" max="14137" width="7.7109375" style="40" bestFit="1" customWidth="1"/>
    <col min="14138" max="14138" width="6.5703125" style="40" bestFit="1" customWidth="1"/>
    <col min="14139" max="14139" width="6.140625" style="40" bestFit="1" customWidth="1"/>
    <col min="14140" max="14140" width="1" style="40" customWidth="1"/>
    <col min="14141" max="14141" width="4.85546875" style="40" bestFit="1" customWidth="1"/>
    <col min="14142" max="14142" width="7" style="40" customWidth="1"/>
    <col min="14143" max="14143" width="7.42578125" style="40" customWidth="1"/>
    <col min="14144" max="14144" width="7.28515625" style="40" customWidth="1"/>
    <col min="14145" max="14145" width="7.5703125" style="40" customWidth="1"/>
    <col min="14146" max="14146" width="13.5703125" style="40" bestFit="1" customWidth="1"/>
    <col min="14147" max="14147" width="24.140625" style="40" bestFit="1" customWidth="1"/>
    <col min="14148" max="14149" width="5.7109375" style="40" bestFit="1" customWidth="1"/>
    <col min="14150" max="14150" width="5.28515625" style="40" bestFit="1" customWidth="1"/>
    <col min="14151" max="14337" width="9.140625" style="40"/>
    <col min="14338" max="14338" width="2.28515625" style="40" customWidth="1"/>
    <col min="14339" max="14340" width="8.42578125" style="40" customWidth="1"/>
    <col min="14341" max="14341" width="13.5703125" style="40" customWidth="1"/>
    <col min="14342" max="14352" width="4.7109375" style="40" customWidth="1"/>
    <col min="14353" max="14353" width="3.85546875" style="40" customWidth="1"/>
    <col min="14354" max="14354" width="5" style="40" customWidth="1"/>
    <col min="14355" max="14355" width="3.5703125" style="40" customWidth="1"/>
    <col min="14356" max="14356" width="5.140625" style="40" customWidth="1"/>
    <col min="14357" max="14357" width="3.85546875" style="40" customWidth="1"/>
    <col min="14358" max="14358" width="4.7109375" style="40" customWidth="1"/>
    <col min="14359" max="14359" width="4.140625" style="40" customWidth="1"/>
    <col min="14360" max="14360" width="5" style="40" customWidth="1"/>
    <col min="14361" max="14361" width="4" style="40" customWidth="1"/>
    <col min="14362" max="14362" width="4.85546875" style="40" customWidth="1"/>
    <col min="14363" max="14363" width="4.42578125" style="40" bestFit="1" customWidth="1"/>
    <col min="14364" max="14385" width="0" style="40" hidden="1" customWidth="1"/>
    <col min="14386" max="14386" width="0.7109375" style="40" customWidth="1"/>
    <col min="14387" max="14387" width="12.85546875" style="40" bestFit="1" customWidth="1"/>
    <col min="14388" max="14388" width="7.7109375" style="40" bestFit="1" customWidth="1"/>
    <col min="14389" max="14389" width="10.85546875" style="40" bestFit="1" customWidth="1"/>
    <col min="14390" max="14391" width="6.5703125" style="40" bestFit="1" customWidth="1"/>
    <col min="14392" max="14392" width="4.5703125" style="40" bestFit="1" customWidth="1"/>
    <col min="14393" max="14393" width="7.7109375" style="40" bestFit="1" customWidth="1"/>
    <col min="14394" max="14394" width="6.5703125" style="40" bestFit="1" customWidth="1"/>
    <col min="14395" max="14395" width="6.140625" style="40" bestFit="1" customWidth="1"/>
    <col min="14396" max="14396" width="1" style="40" customWidth="1"/>
    <col min="14397" max="14397" width="4.85546875" style="40" bestFit="1" customWidth="1"/>
    <col min="14398" max="14398" width="7" style="40" customWidth="1"/>
    <col min="14399" max="14399" width="7.42578125" style="40" customWidth="1"/>
    <col min="14400" max="14400" width="7.28515625" style="40" customWidth="1"/>
    <col min="14401" max="14401" width="7.5703125" style="40" customWidth="1"/>
    <col min="14402" max="14402" width="13.5703125" style="40" bestFit="1" customWidth="1"/>
    <col min="14403" max="14403" width="24.140625" style="40" bestFit="1" customWidth="1"/>
    <col min="14404" max="14405" width="5.7109375" style="40" bestFit="1" customWidth="1"/>
    <col min="14406" max="14406" width="5.28515625" style="40" bestFit="1" customWidth="1"/>
    <col min="14407" max="14593" width="9.140625" style="40"/>
    <col min="14594" max="14594" width="2.28515625" style="40" customWidth="1"/>
    <col min="14595" max="14596" width="8.42578125" style="40" customWidth="1"/>
    <col min="14597" max="14597" width="13.5703125" style="40" customWidth="1"/>
    <col min="14598" max="14608" width="4.7109375" style="40" customWidth="1"/>
    <col min="14609" max="14609" width="3.85546875" style="40" customWidth="1"/>
    <col min="14610" max="14610" width="5" style="40" customWidth="1"/>
    <col min="14611" max="14611" width="3.5703125" style="40" customWidth="1"/>
    <col min="14612" max="14612" width="5.140625" style="40" customWidth="1"/>
    <col min="14613" max="14613" width="3.85546875" style="40" customWidth="1"/>
    <col min="14614" max="14614" width="4.7109375" style="40" customWidth="1"/>
    <col min="14615" max="14615" width="4.140625" style="40" customWidth="1"/>
    <col min="14616" max="14616" width="5" style="40" customWidth="1"/>
    <col min="14617" max="14617" width="4" style="40" customWidth="1"/>
    <col min="14618" max="14618" width="4.85546875" style="40" customWidth="1"/>
    <col min="14619" max="14619" width="4.42578125" style="40" bestFit="1" customWidth="1"/>
    <col min="14620" max="14641" width="0" style="40" hidden="1" customWidth="1"/>
    <col min="14642" max="14642" width="0.7109375" style="40" customWidth="1"/>
    <col min="14643" max="14643" width="12.85546875" style="40" bestFit="1" customWidth="1"/>
    <col min="14644" max="14644" width="7.7109375" style="40" bestFit="1" customWidth="1"/>
    <col min="14645" max="14645" width="10.85546875" style="40" bestFit="1" customWidth="1"/>
    <col min="14646" max="14647" width="6.5703125" style="40" bestFit="1" customWidth="1"/>
    <col min="14648" max="14648" width="4.5703125" style="40" bestFit="1" customWidth="1"/>
    <col min="14649" max="14649" width="7.7109375" style="40" bestFit="1" customWidth="1"/>
    <col min="14650" max="14650" width="6.5703125" style="40" bestFit="1" customWidth="1"/>
    <col min="14651" max="14651" width="6.140625" style="40" bestFit="1" customWidth="1"/>
    <col min="14652" max="14652" width="1" style="40" customWidth="1"/>
    <col min="14653" max="14653" width="4.85546875" style="40" bestFit="1" customWidth="1"/>
    <col min="14654" max="14654" width="7" style="40" customWidth="1"/>
    <col min="14655" max="14655" width="7.42578125" style="40" customWidth="1"/>
    <col min="14656" max="14656" width="7.28515625" style="40" customWidth="1"/>
    <col min="14657" max="14657" width="7.5703125" style="40" customWidth="1"/>
    <col min="14658" max="14658" width="13.5703125" style="40" bestFit="1" customWidth="1"/>
    <col min="14659" max="14659" width="24.140625" style="40" bestFit="1" customWidth="1"/>
    <col min="14660" max="14661" width="5.7109375" style="40" bestFit="1" customWidth="1"/>
    <col min="14662" max="14662" width="5.28515625" style="40" bestFit="1" customWidth="1"/>
    <col min="14663" max="14849" width="9.140625" style="40"/>
    <col min="14850" max="14850" width="2.28515625" style="40" customWidth="1"/>
    <col min="14851" max="14852" width="8.42578125" style="40" customWidth="1"/>
    <col min="14853" max="14853" width="13.5703125" style="40" customWidth="1"/>
    <col min="14854" max="14864" width="4.7109375" style="40" customWidth="1"/>
    <col min="14865" max="14865" width="3.85546875" style="40" customWidth="1"/>
    <col min="14866" max="14866" width="5" style="40" customWidth="1"/>
    <col min="14867" max="14867" width="3.5703125" style="40" customWidth="1"/>
    <col min="14868" max="14868" width="5.140625" style="40" customWidth="1"/>
    <col min="14869" max="14869" width="3.85546875" style="40" customWidth="1"/>
    <col min="14870" max="14870" width="4.7109375" style="40" customWidth="1"/>
    <col min="14871" max="14871" width="4.140625" style="40" customWidth="1"/>
    <col min="14872" max="14872" width="5" style="40" customWidth="1"/>
    <col min="14873" max="14873" width="4" style="40" customWidth="1"/>
    <col min="14874" max="14874" width="4.85546875" style="40" customWidth="1"/>
    <col min="14875" max="14875" width="4.42578125" style="40" bestFit="1" customWidth="1"/>
    <col min="14876" max="14897" width="0" style="40" hidden="1" customWidth="1"/>
    <col min="14898" max="14898" width="0.7109375" style="40" customWidth="1"/>
    <col min="14899" max="14899" width="12.85546875" style="40" bestFit="1" customWidth="1"/>
    <col min="14900" max="14900" width="7.7109375" style="40" bestFit="1" customWidth="1"/>
    <col min="14901" max="14901" width="10.85546875" style="40" bestFit="1" customWidth="1"/>
    <col min="14902" max="14903" width="6.5703125" style="40" bestFit="1" customWidth="1"/>
    <col min="14904" max="14904" width="4.5703125" style="40" bestFit="1" customWidth="1"/>
    <col min="14905" max="14905" width="7.7109375" style="40" bestFit="1" customWidth="1"/>
    <col min="14906" max="14906" width="6.5703125" style="40" bestFit="1" customWidth="1"/>
    <col min="14907" max="14907" width="6.140625" style="40" bestFit="1" customWidth="1"/>
    <col min="14908" max="14908" width="1" style="40" customWidth="1"/>
    <col min="14909" max="14909" width="4.85546875" style="40" bestFit="1" customWidth="1"/>
    <col min="14910" max="14910" width="7" style="40" customWidth="1"/>
    <col min="14911" max="14911" width="7.42578125" style="40" customWidth="1"/>
    <col min="14912" max="14912" width="7.28515625" style="40" customWidth="1"/>
    <col min="14913" max="14913" width="7.5703125" style="40" customWidth="1"/>
    <col min="14914" max="14914" width="13.5703125" style="40" bestFit="1" customWidth="1"/>
    <col min="14915" max="14915" width="24.140625" style="40" bestFit="1" customWidth="1"/>
    <col min="14916" max="14917" width="5.7109375" style="40" bestFit="1" customWidth="1"/>
    <col min="14918" max="14918" width="5.28515625" style="40" bestFit="1" customWidth="1"/>
    <col min="14919" max="15105" width="9.140625" style="40"/>
    <col min="15106" max="15106" width="2.28515625" style="40" customWidth="1"/>
    <col min="15107" max="15108" width="8.42578125" style="40" customWidth="1"/>
    <col min="15109" max="15109" width="13.5703125" style="40" customWidth="1"/>
    <col min="15110" max="15120" width="4.7109375" style="40" customWidth="1"/>
    <col min="15121" max="15121" width="3.85546875" style="40" customWidth="1"/>
    <col min="15122" max="15122" width="5" style="40" customWidth="1"/>
    <col min="15123" max="15123" width="3.5703125" style="40" customWidth="1"/>
    <col min="15124" max="15124" width="5.140625" style="40" customWidth="1"/>
    <col min="15125" max="15125" width="3.85546875" style="40" customWidth="1"/>
    <col min="15126" max="15126" width="4.7109375" style="40" customWidth="1"/>
    <col min="15127" max="15127" width="4.140625" style="40" customWidth="1"/>
    <col min="15128" max="15128" width="5" style="40" customWidth="1"/>
    <col min="15129" max="15129" width="4" style="40" customWidth="1"/>
    <col min="15130" max="15130" width="4.85546875" style="40" customWidth="1"/>
    <col min="15131" max="15131" width="4.42578125" style="40" bestFit="1" customWidth="1"/>
    <col min="15132" max="15153" width="0" style="40" hidden="1" customWidth="1"/>
    <col min="15154" max="15154" width="0.7109375" style="40" customWidth="1"/>
    <col min="15155" max="15155" width="12.85546875" style="40" bestFit="1" customWidth="1"/>
    <col min="15156" max="15156" width="7.7109375" style="40" bestFit="1" customWidth="1"/>
    <col min="15157" max="15157" width="10.85546875" style="40" bestFit="1" customWidth="1"/>
    <col min="15158" max="15159" width="6.5703125" style="40" bestFit="1" customWidth="1"/>
    <col min="15160" max="15160" width="4.5703125" style="40" bestFit="1" customWidth="1"/>
    <col min="15161" max="15161" width="7.7109375" style="40" bestFit="1" customWidth="1"/>
    <col min="15162" max="15162" width="6.5703125" style="40" bestFit="1" customWidth="1"/>
    <col min="15163" max="15163" width="6.140625" style="40" bestFit="1" customWidth="1"/>
    <col min="15164" max="15164" width="1" style="40" customWidth="1"/>
    <col min="15165" max="15165" width="4.85546875" style="40" bestFit="1" customWidth="1"/>
    <col min="15166" max="15166" width="7" style="40" customWidth="1"/>
    <col min="15167" max="15167" width="7.42578125" style="40" customWidth="1"/>
    <col min="15168" max="15168" width="7.28515625" style="40" customWidth="1"/>
    <col min="15169" max="15169" width="7.5703125" style="40" customWidth="1"/>
    <col min="15170" max="15170" width="13.5703125" style="40" bestFit="1" customWidth="1"/>
    <col min="15171" max="15171" width="24.140625" style="40" bestFit="1" customWidth="1"/>
    <col min="15172" max="15173" width="5.7109375" style="40" bestFit="1" customWidth="1"/>
    <col min="15174" max="15174" width="5.28515625" style="40" bestFit="1" customWidth="1"/>
    <col min="15175" max="15361" width="9.140625" style="40"/>
    <col min="15362" max="15362" width="2.28515625" style="40" customWidth="1"/>
    <col min="15363" max="15364" width="8.42578125" style="40" customWidth="1"/>
    <col min="15365" max="15365" width="13.5703125" style="40" customWidth="1"/>
    <col min="15366" max="15376" width="4.7109375" style="40" customWidth="1"/>
    <col min="15377" max="15377" width="3.85546875" style="40" customWidth="1"/>
    <col min="15378" max="15378" width="5" style="40" customWidth="1"/>
    <col min="15379" max="15379" width="3.5703125" style="40" customWidth="1"/>
    <col min="15380" max="15380" width="5.140625" style="40" customWidth="1"/>
    <col min="15381" max="15381" width="3.85546875" style="40" customWidth="1"/>
    <col min="15382" max="15382" width="4.7109375" style="40" customWidth="1"/>
    <col min="15383" max="15383" width="4.140625" style="40" customWidth="1"/>
    <col min="15384" max="15384" width="5" style="40" customWidth="1"/>
    <col min="15385" max="15385" width="4" style="40" customWidth="1"/>
    <col min="15386" max="15386" width="4.85546875" style="40" customWidth="1"/>
    <col min="15387" max="15387" width="4.42578125" style="40" bestFit="1" customWidth="1"/>
    <col min="15388" max="15409" width="0" style="40" hidden="1" customWidth="1"/>
    <col min="15410" max="15410" width="0.7109375" style="40" customWidth="1"/>
    <col min="15411" max="15411" width="12.85546875" style="40" bestFit="1" customWidth="1"/>
    <col min="15412" max="15412" width="7.7109375" style="40" bestFit="1" customWidth="1"/>
    <col min="15413" max="15413" width="10.85546875" style="40" bestFit="1" customWidth="1"/>
    <col min="15414" max="15415" width="6.5703125" style="40" bestFit="1" customWidth="1"/>
    <col min="15416" max="15416" width="4.5703125" style="40" bestFit="1" customWidth="1"/>
    <col min="15417" max="15417" width="7.7109375" style="40" bestFit="1" customWidth="1"/>
    <col min="15418" max="15418" width="6.5703125" style="40" bestFit="1" customWidth="1"/>
    <col min="15419" max="15419" width="6.140625" style="40" bestFit="1" customWidth="1"/>
    <col min="15420" max="15420" width="1" style="40" customWidth="1"/>
    <col min="15421" max="15421" width="4.85546875" style="40" bestFit="1" customWidth="1"/>
    <col min="15422" max="15422" width="7" style="40" customWidth="1"/>
    <col min="15423" max="15423" width="7.42578125" style="40" customWidth="1"/>
    <col min="15424" max="15424" width="7.28515625" style="40" customWidth="1"/>
    <col min="15425" max="15425" width="7.5703125" style="40" customWidth="1"/>
    <col min="15426" max="15426" width="13.5703125" style="40" bestFit="1" customWidth="1"/>
    <col min="15427" max="15427" width="24.140625" style="40" bestFit="1" customWidth="1"/>
    <col min="15428" max="15429" width="5.7109375" style="40" bestFit="1" customWidth="1"/>
    <col min="15430" max="15430" width="5.28515625" style="40" bestFit="1" customWidth="1"/>
    <col min="15431" max="15617" width="9.140625" style="40"/>
    <col min="15618" max="15618" width="2.28515625" style="40" customWidth="1"/>
    <col min="15619" max="15620" width="8.42578125" style="40" customWidth="1"/>
    <col min="15621" max="15621" width="13.5703125" style="40" customWidth="1"/>
    <col min="15622" max="15632" width="4.7109375" style="40" customWidth="1"/>
    <col min="15633" max="15633" width="3.85546875" style="40" customWidth="1"/>
    <col min="15634" max="15634" width="5" style="40" customWidth="1"/>
    <col min="15635" max="15635" width="3.5703125" style="40" customWidth="1"/>
    <col min="15636" max="15636" width="5.140625" style="40" customWidth="1"/>
    <col min="15637" max="15637" width="3.85546875" style="40" customWidth="1"/>
    <col min="15638" max="15638" width="4.7109375" style="40" customWidth="1"/>
    <col min="15639" max="15639" width="4.140625" style="40" customWidth="1"/>
    <col min="15640" max="15640" width="5" style="40" customWidth="1"/>
    <col min="15641" max="15641" width="4" style="40" customWidth="1"/>
    <col min="15642" max="15642" width="4.85546875" style="40" customWidth="1"/>
    <col min="15643" max="15643" width="4.42578125" style="40" bestFit="1" customWidth="1"/>
    <col min="15644" max="15665" width="0" style="40" hidden="1" customWidth="1"/>
    <col min="15666" max="15666" width="0.7109375" style="40" customWidth="1"/>
    <col min="15667" max="15667" width="12.85546875" style="40" bestFit="1" customWidth="1"/>
    <col min="15668" max="15668" width="7.7109375" style="40" bestFit="1" customWidth="1"/>
    <col min="15669" max="15669" width="10.85546875" style="40" bestFit="1" customWidth="1"/>
    <col min="15670" max="15671" width="6.5703125" style="40" bestFit="1" customWidth="1"/>
    <col min="15672" max="15672" width="4.5703125" style="40" bestFit="1" customWidth="1"/>
    <col min="15673" max="15673" width="7.7109375" style="40" bestFit="1" customWidth="1"/>
    <col min="15674" max="15674" width="6.5703125" style="40" bestFit="1" customWidth="1"/>
    <col min="15675" max="15675" width="6.140625" style="40" bestFit="1" customWidth="1"/>
    <col min="15676" max="15676" width="1" style="40" customWidth="1"/>
    <col min="15677" max="15677" width="4.85546875" style="40" bestFit="1" customWidth="1"/>
    <col min="15678" max="15678" width="7" style="40" customWidth="1"/>
    <col min="15679" max="15679" width="7.42578125" style="40" customWidth="1"/>
    <col min="15680" max="15680" width="7.28515625" style="40" customWidth="1"/>
    <col min="15681" max="15681" width="7.5703125" style="40" customWidth="1"/>
    <col min="15682" max="15682" width="13.5703125" style="40" bestFit="1" customWidth="1"/>
    <col min="15683" max="15683" width="24.140625" style="40" bestFit="1" customWidth="1"/>
    <col min="15684" max="15685" width="5.7109375" style="40" bestFit="1" customWidth="1"/>
    <col min="15686" max="15686" width="5.28515625" style="40" bestFit="1" customWidth="1"/>
    <col min="15687" max="15873" width="9.140625" style="40"/>
    <col min="15874" max="15874" width="2.28515625" style="40" customWidth="1"/>
    <col min="15875" max="15876" width="8.42578125" style="40" customWidth="1"/>
    <col min="15877" max="15877" width="13.5703125" style="40" customWidth="1"/>
    <col min="15878" max="15888" width="4.7109375" style="40" customWidth="1"/>
    <col min="15889" max="15889" width="3.85546875" style="40" customWidth="1"/>
    <col min="15890" max="15890" width="5" style="40" customWidth="1"/>
    <col min="15891" max="15891" width="3.5703125" style="40" customWidth="1"/>
    <col min="15892" max="15892" width="5.140625" style="40" customWidth="1"/>
    <col min="15893" max="15893" width="3.85546875" style="40" customWidth="1"/>
    <col min="15894" max="15894" width="4.7109375" style="40" customWidth="1"/>
    <col min="15895" max="15895" width="4.140625" style="40" customWidth="1"/>
    <col min="15896" max="15896" width="5" style="40" customWidth="1"/>
    <col min="15897" max="15897" width="4" style="40" customWidth="1"/>
    <col min="15898" max="15898" width="4.85546875" style="40" customWidth="1"/>
    <col min="15899" max="15899" width="4.42578125" style="40" bestFit="1" customWidth="1"/>
    <col min="15900" max="15921" width="0" style="40" hidden="1" customWidth="1"/>
    <col min="15922" max="15922" width="0.7109375" style="40" customWidth="1"/>
    <col min="15923" max="15923" width="12.85546875" style="40" bestFit="1" customWidth="1"/>
    <col min="15924" max="15924" width="7.7109375" style="40" bestFit="1" customWidth="1"/>
    <col min="15925" max="15925" width="10.85546875" style="40" bestFit="1" customWidth="1"/>
    <col min="15926" max="15927" width="6.5703125" style="40" bestFit="1" customWidth="1"/>
    <col min="15928" max="15928" width="4.5703125" style="40" bestFit="1" customWidth="1"/>
    <col min="15929" max="15929" width="7.7109375" style="40" bestFit="1" customWidth="1"/>
    <col min="15930" max="15930" width="6.5703125" style="40" bestFit="1" customWidth="1"/>
    <col min="15931" max="15931" width="6.140625" style="40" bestFit="1" customWidth="1"/>
    <col min="15932" max="15932" width="1" style="40" customWidth="1"/>
    <col min="15933" max="15933" width="4.85546875" style="40" bestFit="1" customWidth="1"/>
    <col min="15934" max="15934" width="7" style="40" customWidth="1"/>
    <col min="15935" max="15935" width="7.42578125" style="40" customWidth="1"/>
    <col min="15936" max="15936" width="7.28515625" style="40" customWidth="1"/>
    <col min="15937" max="15937" width="7.5703125" style="40" customWidth="1"/>
    <col min="15938" max="15938" width="13.5703125" style="40" bestFit="1" customWidth="1"/>
    <col min="15939" max="15939" width="24.140625" style="40" bestFit="1" customWidth="1"/>
    <col min="15940" max="15941" width="5.7109375" style="40" bestFit="1" customWidth="1"/>
    <col min="15942" max="15942" width="5.28515625" style="40" bestFit="1" customWidth="1"/>
    <col min="15943" max="16129" width="9.140625" style="40"/>
    <col min="16130" max="16130" width="2.28515625" style="40" customWidth="1"/>
    <col min="16131" max="16132" width="8.42578125" style="40" customWidth="1"/>
    <col min="16133" max="16133" width="13.5703125" style="40" customWidth="1"/>
    <col min="16134" max="16144" width="4.7109375" style="40" customWidth="1"/>
    <col min="16145" max="16145" width="3.85546875" style="40" customWidth="1"/>
    <col min="16146" max="16146" width="5" style="40" customWidth="1"/>
    <col min="16147" max="16147" width="3.5703125" style="40" customWidth="1"/>
    <col min="16148" max="16148" width="5.140625" style="40" customWidth="1"/>
    <col min="16149" max="16149" width="3.85546875" style="40" customWidth="1"/>
    <col min="16150" max="16150" width="4.7109375" style="40" customWidth="1"/>
    <col min="16151" max="16151" width="4.140625" style="40" customWidth="1"/>
    <col min="16152" max="16152" width="5" style="40" customWidth="1"/>
    <col min="16153" max="16153" width="4" style="40" customWidth="1"/>
    <col min="16154" max="16154" width="4.85546875" style="40" customWidth="1"/>
    <col min="16155" max="16155" width="4.42578125" style="40" bestFit="1" customWidth="1"/>
    <col min="16156" max="16177" width="0" style="40" hidden="1" customWidth="1"/>
    <col min="16178" max="16178" width="0.7109375" style="40" customWidth="1"/>
    <col min="16179" max="16179" width="12.85546875" style="40" bestFit="1" customWidth="1"/>
    <col min="16180" max="16180" width="7.7109375" style="40" bestFit="1" customWidth="1"/>
    <col min="16181" max="16181" width="10.85546875" style="40" bestFit="1" customWidth="1"/>
    <col min="16182" max="16183" width="6.5703125" style="40" bestFit="1" customWidth="1"/>
    <col min="16184" max="16184" width="4.5703125" style="40" bestFit="1" customWidth="1"/>
    <col min="16185" max="16185" width="7.7109375" style="40" bestFit="1" customWidth="1"/>
    <col min="16186" max="16186" width="6.5703125" style="40" bestFit="1" customWidth="1"/>
    <col min="16187" max="16187" width="6.140625" style="40" bestFit="1" customWidth="1"/>
    <col min="16188" max="16188" width="1" style="40" customWidth="1"/>
    <col min="16189" max="16189" width="4.85546875" style="40" bestFit="1" customWidth="1"/>
    <col min="16190" max="16190" width="7" style="40" customWidth="1"/>
    <col min="16191" max="16191" width="7.42578125" style="40" customWidth="1"/>
    <col min="16192" max="16192" width="7.28515625" style="40" customWidth="1"/>
    <col min="16193" max="16193" width="7.5703125" style="40" customWidth="1"/>
    <col min="16194" max="16194" width="13.5703125" style="40" bestFit="1" customWidth="1"/>
    <col min="16195" max="16195" width="24.140625" style="40" bestFit="1" customWidth="1"/>
    <col min="16196" max="16197" width="5.7109375" style="40" bestFit="1" customWidth="1"/>
    <col min="16198" max="16198" width="5.28515625" style="40" bestFit="1" customWidth="1"/>
    <col min="16199" max="16384" width="9.140625" style="40"/>
  </cols>
  <sheetData>
    <row r="2" spans="2:82" ht="14.25" customHeight="1" x14ac:dyDescent="0.2">
      <c r="B2" s="39" t="s">
        <v>59</v>
      </c>
      <c r="C2" s="603" t="s">
        <v>193</v>
      </c>
      <c r="D2" s="604"/>
    </row>
    <row r="3" spans="2:82" x14ac:dyDescent="0.2">
      <c r="B3" s="39" t="s">
        <v>60</v>
      </c>
      <c r="C3" s="605" t="s">
        <v>194</v>
      </c>
      <c r="D3" s="606"/>
      <c r="F3" s="42"/>
      <c r="G3" s="42"/>
      <c r="H3" s="43"/>
      <c r="I3" s="43"/>
      <c r="J3" s="43"/>
      <c r="K3" s="43"/>
      <c r="L3" s="43"/>
      <c r="M3" s="43"/>
      <c r="AW3" s="42"/>
    </row>
    <row r="4" spans="2:82" x14ac:dyDescent="0.2">
      <c r="B4" s="44" t="s">
        <v>37</v>
      </c>
      <c r="C4" s="607" t="s">
        <v>195</v>
      </c>
      <c r="D4" s="608"/>
      <c r="E4" s="608"/>
      <c r="F4" s="608"/>
      <c r="G4" s="608"/>
      <c r="H4" s="608"/>
      <c r="I4" s="608"/>
      <c r="J4" s="608"/>
      <c r="K4" s="608"/>
      <c r="L4" s="45"/>
      <c r="M4" s="45"/>
      <c r="N4" s="42"/>
      <c r="AW4" s="42"/>
    </row>
    <row r="5" spans="2:82" ht="6" customHeight="1" thickBot="1" x14ac:dyDescent="0.25">
      <c r="B5" s="44"/>
      <c r="C5" s="46"/>
      <c r="D5" s="46"/>
      <c r="E5" s="46"/>
      <c r="F5" s="46"/>
      <c r="G5" s="46"/>
      <c r="H5" s="46"/>
      <c r="I5" s="45"/>
      <c r="J5" s="45"/>
      <c r="K5" s="45"/>
      <c r="L5" s="45"/>
      <c r="M5" s="45"/>
      <c r="N5" s="42"/>
      <c r="AW5" s="42"/>
    </row>
    <row r="6" spans="2:82" s="246" customFormat="1" ht="15" customHeight="1" thickBot="1" x14ac:dyDescent="0.25">
      <c r="B6" s="244"/>
      <c r="C6" s="245"/>
      <c r="D6" s="245"/>
      <c r="E6" s="609" t="s">
        <v>61</v>
      </c>
      <c r="F6" s="610"/>
      <c r="G6" s="610"/>
      <c r="H6" s="610"/>
      <c r="I6" s="610"/>
      <c r="J6" s="610"/>
      <c r="K6" s="610"/>
      <c r="L6" s="610"/>
      <c r="M6" s="610"/>
      <c r="N6" s="610"/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11"/>
      <c r="AW6" s="64"/>
      <c r="AX6" s="247" t="s">
        <v>38</v>
      </c>
      <c r="AY6" s="248"/>
      <c r="BB6" s="248"/>
      <c r="BC6" s="248"/>
      <c r="BO6" s="64"/>
      <c r="BP6" s="69"/>
      <c r="BQ6" s="69"/>
      <c r="BR6" s="72" t="s">
        <v>99</v>
      </c>
      <c r="BS6" s="73"/>
      <c r="BT6" s="72" t="s">
        <v>100</v>
      </c>
      <c r="BU6" s="74"/>
      <c r="BV6" s="75" t="s">
        <v>101</v>
      </c>
      <c r="BW6" s="76"/>
      <c r="BX6" s="72" t="s">
        <v>102</v>
      </c>
      <c r="BY6" s="533" t="s">
        <v>103</v>
      </c>
      <c r="BZ6" s="534"/>
      <c r="CA6" s="533" t="s">
        <v>104</v>
      </c>
      <c r="CB6" s="535"/>
      <c r="CC6" s="535"/>
      <c r="CD6" s="534"/>
    </row>
    <row r="7" spans="2:82" s="246" customFormat="1" ht="24" customHeight="1" thickBot="1" x14ac:dyDescent="0.25">
      <c r="B7" s="612" t="s">
        <v>39</v>
      </c>
      <c r="C7" s="613"/>
      <c r="D7" s="615" t="s">
        <v>40</v>
      </c>
      <c r="E7" s="617" t="s">
        <v>62</v>
      </c>
      <c r="F7" s="617"/>
      <c r="G7" s="617"/>
      <c r="H7" s="618"/>
      <c r="I7" s="619" t="s">
        <v>63</v>
      </c>
      <c r="J7" s="620"/>
      <c r="K7" s="621"/>
      <c r="L7" s="622" t="s">
        <v>64</v>
      </c>
      <c r="M7" s="620"/>
      <c r="N7" s="620"/>
      <c r="O7" s="620"/>
      <c r="P7" s="623"/>
      <c r="Q7" s="619" t="s">
        <v>65</v>
      </c>
      <c r="R7" s="620"/>
      <c r="S7" s="620"/>
      <c r="T7" s="620"/>
      <c r="U7" s="620"/>
      <c r="V7" s="620"/>
      <c r="W7" s="620"/>
      <c r="X7" s="620"/>
      <c r="Y7" s="620"/>
      <c r="Z7" s="623"/>
      <c r="AA7" s="592" t="s">
        <v>66</v>
      </c>
      <c r="AB7" s="593"/>
      <c r="AC7" s="593"/>
      <c r="AD7" s="593"/>
      <c r="AE7" s="593"/>
      <c r="AF7" s="593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593"/>
      <c r="AV7" s="593"/>
      <c r="AW7" s="249"/>
      <c r="AX7" s="594" t="s">
        <v>67</v>
      </c>
      <c r="AY7" s="597" t="s">
        <v>66</v>
      </c>
      <c r="AZ7" s="561" t="s">
        <v>68</v>
      </c>
      <c r="BA7" s="601" t="s">
        <v>69</v>
      </c>
      <c r="BB7" s="602"/>
      <c r="BC7" s="602"/>
      <c r="BD7" s="602"/>
      <c r="BE7" s="602"/>
      <c r="BF7" s="573" t="s">
        <v>70</v>
      </c>
      <c r="BH7" s="579" t="s">
        <v>71</v>
      </c>
      <c r="BI7" s="580"/>
      <c r="BJ7" s="580"/>
      <c r="BK7" s="581"/>
      <c r="BL7" s="582" t="s">
        <v>41</v>
      </c>
      <c r="BM7" s="583"/>
      <c r="BN7" s="250"/>
      <c r="BO7" s="64"/>
      <c r="BP7" s="71" t="s">
        <v>46</v>
      </c>
      <c r="BQ7" s="69"/>
      <c r="BR7" s="77" t="s">
        <v>105</v>
      </c>
      <c r="BS7" s="73"/>
      <c r="BT7" s="172" t="s">
        <v>55</v>
      </c>
      <c r="BU7" s="78"/>
      <c r="BV7" s="79" t="s">
        <v>106</v>
      </c>
      <c r="BW7" s="76"/>
      <c r="BX7" s="538" t="s">
        <v>107</v>
      </c>
      <c r="BY7" s="172" t="s">
        <v>108</v>
      </c>
      <c r="BZ7" s="172" t="s">
        <v>109</v>
      </c>
      <c r="CA7" s="536" t="s">
        <v>108</v>
      </c>
      <c r="CB7" s="537"/>
      <c r="CC7" s="536" t="s">
        <v>109</v>
      </c>
      <c r="CD7" s="537"/>
    </row>
    <row r="8" spans="2:82" ht="33" customHeight="1" thickBot="1" x14ac:dyDescent="0.25">
      <c r="B8" s="559"/>
      <c r="C8" s="614"/>
      <c r="D8" s="616"/>
      <c r="E8" s="584" t="s">
        <v>72</v>
      </c>
      <c r="F8" s="548" t="s">
        <v>73</v>
      </c>
      <c r="G8" s="548" t="s">
        <v>74</v>
      </c>
      <c r="H8" s="585" t="s">
        <v>75</v>
      </c>
      <c r="I8" s="547" t="s">
        <v>76</v>
      </c>
      <c r="J8" s="587" t="s">
        <v>77</v>
      </c>
      <c r="K8" s="589" t="s">
        <v>78</v>
      </c>
      <c r="L8" s="591" t="s">
        <v>79</v>
      </c>
      <c r="M8" s="548" t="s">
        <v>80</v>
      </c>
      <c r="N8" s="587" t="s">
        <v>81</v>
      </c>
      <c r="O8" s="548" t="s">
        <v>82</v>
      </c>
      <c r="P8" s="585"/>
      <c r="Q8" s="547" t="s">
        <v>83</v>
      </c>
      <c r="R8" s="548"/>
      <c r="S8" s="548" t="s">
        <v>84</v>
      </c>
      <c r="T8" s="548"/>
      <c r="U8" s="548" t="s">
        <v>85</v>
      </c>
      <c r="V8" s="548"/>
      <c r="W8" s="548" t="s">
        <v>86</v>
      </c>
      <c r="X8" s="548"/>
      <c r="Y8" s="563" t="s">
        <v>87</v>
      </c>
      <c r="Z8" s="564"/>
      <c r="AA8" s="565" t="s">
        <v>88</v>
      </c>
      <c r="AB8" s="565"/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565"/>
      <c r="AS8" s="565"/>
      <c r="AT8" s="565"/>
      <c r="AU8" s="565"/>
      <c r="AV8" s="566"/>
      <c r="AW8" s="47"/>
      <c r="AX8" s="595"/>
      <c r="AY8" s="598"/>
      <c r="AZ8" s="600"/>
      <c r="BA8" s="571" t="s">
        <v>89</v>
      </c>
      <c r="BB8" s="541" t="s">
        <v>90</v>
      </c>
      <c r="BC8" s="544" t="s">
        <v>66</v>
      </c>
      <c r="BD8" s="541" t="s">
        <v>91</v>
      </c>
      <c r="BE8" s="576" t="s">
        <v>92</v>
      </c>
      <c r="BF8" s="574"/>
      <c r="BH8" s="549" t="s">
        <v>42</v>
      </c>
      <c r="BI8" s="550"/>
      <c r="BJ8" s="550"/>
      <c r="BK8" s="551"/>
      <c r="BL8" s="552" t="s">
        <v>42</v>
      </c>
      <c r="BM8" s="553"/>
      <c r="BN8" s="48" t="s">
        <v>43</v>
      </c>
      <c r="BO8" s="91"/>
      <c r="BP8" s="71" t="s">
        <v>47</v>
      </c>
      <c r="BR8" s="80" t="s">
        <v>110</v>
      </c>
      <c r="BS8" s="73"/>
      <c r="BT8" s="81" t="s">
        <v>56</v>
      </c>
      <c r="BU8" s="78"/>
      <c r="BV8" s="79" t="s">
        <v>111</v>
      </c>
      <c r="BW8" s="76"/>
      <c r="BX8" s="539"/>
      <c r="BY8" s="539" t="s">
        <v>107</v>
      </c>
      <c r="BZ8" s="539" t="s">
        <v>107</v>
      </c>
      <c r="CA8" s="81" t="s">
        <v>112</v>
      </c>
      <c r="CB8" s="538" t="s">
        <v>113</v>
      </c>
      <c r="CC8" s="81" t="s">
        <v>112</v>
      </c>
      <c r="CD8" s="538" t="s">
        <v>113</v>
      </c>
    </row>
    <row r="9" spans="2:82" ht="19.5" customHeight="1" x14ac:dyDescent="0.2">
      <c r="B9" s="554" t="s">
        <v>44</v>
      </c>
      <c r="C9" s="556" t="s">
        <v>45</v>
      </c>
      <c r="D9" s="616"/>
      <c r="E9" s="584"/>
      <c r="F9" s="548"/>
      <c r="G9" s="548"/>
      <c r="H9" s="585"/>
      <c r="I9" s="586"/>
      <c r="J9" s="588"/>
      <c r="K9" s="590"/>
      <c r="L9" s="591"/>
      <c r="M9" s="548"/>
      <c r="N9" s="587"/>
      <c r="O9" s="49" t="s">
        <v>93</v>
      </c>
      <c r="P9" s="50" t="s">
        <v>94</v>
      </c>
      <c r="Q9" s="67" t="s">
        <v>93</v>
      </c>
      <c r="R9" s="49" t="s">
        <v>94</v>
      </c>
      <c r="S9" s="49" t="s">
        <v>93</v>
      </c>
      <c r="T9" s="49" t="s">
        <v>94</v>
      </c>
      <c r="U9" s="49" t="s">
        <v>93</v>
      </c>
      <c r="V9" s="49" t="s">
        <v>94</v>
      </c>
      <c r="W9" s="49" t="s">
        <v>93</v>
      </c>
      <c r="X9" s="49" t="s">
        <v>94</v>
      </c>
      <c r="Y9" s="49" t="s">
        <v>93</v>
      </c>
      <c r="Z9" s="50" t="s">
        <v>94</v>
      </c>
      <c r="AA9" s="567"/>
      <c r="AB9" s="567"/>
      <c r="AC9" s="567"/>
      <c r="AD9" s="567"/>
      <c r="AE9" s="567"/>
      <c r="AF9" s="567"/>
      <c r="AG9" s="567"/>
      <c r="AH9" s="567"/>
      <c r="AI9" s="567"/>
      <c r="AJ9" s="567"/>
      <c r="AK9" s="567"/>
      <c r="AL9" s="567"/>
      <c r="AM9" s="567"/>
      <c r="AN9" s="567"/>
      <c r="AO9" s="567"/>
      <c r="AP9" s="567"/>
      <c r="AQ9" s="567"/>
      <c r="AR9" s="567"/>
      <c r="AS9" s="567"/>
      <c r="AT9" s="567"/>
      <c r="AU9" s="567"/>
      <c r="AV9" s="568"/>
      <c r="AW9" s="47"/>
      <c r="AX9" s="595"/>
      <c r="AY9" s="598"/>
      <c r="AZ9" s="600"/>
      <c r="BA9" s="572"/>
      <c r="BB9" s="542"/>
      <c r="BC9" s="545"/>
      <c r="BD9" s="542"/>
      <c r="BE9" s="577"/>
      <c r="BF9" s="574"/>
      <c r="BH9" s="558" t="s">
        <v>46</v>
      </c>
      <c r="BI9" s="543" t="s">
        <v>47</v>
      </c>
      <c r="BJ9" s="543" t="s">
        <v>48</v>
      </c>
      <c r="BK9" s="543" t="s">
        <v>49</v>
      </c>
      <c r="BL9" s="560" t="s">
        <v>50</v>
      </c>
      <c r="BM9" s="561" t="s">
        <v>51</v>
      </c>
      <c r="BN9" s="48" t="s">
        <v>52</v>
      </c>
      <c r="BO9" s="91"/>
      <c r="BP9" s="71" t="s">
        <v>48</v>
      </c>
      <c r="BR9" s="80" t="s">
        <v>114</v>
      </c>
      <c r="BS9" s="73"/>
      <c r="BT9" s="81" t="s">
        <v>53</v>
      </c>
      <c r="BU9" s="78"/>
      <c r="BV9" s="79" t="s">
        <v>115</v>
      </c>
      <c r="BW9" s="76"/>
      <c r="BX9" s="539"/>
      <c r="BY9" s="539"/>
      <c r="BZ9" s="539"/>
      <c r="CA9" s="81" t="s">
        <v>118</v>
      </c>
      <c r="CB9" s="539"/>
      <c r="CC9" s="81" t="s">
        <v>118</v>
      </c>
      <c r="CD9" s="539"/>
    </row>
    <row r="10" spans="2:82" ht="27" customHeight="1" thickBot="1" x14ac:dyDescent="0.25">
      <c r="B10" s="555"/>
      <c r="C10" s="557"/>
      <c r="D10" s="616"/>
      <c r="E10" s="51" t="s">
        <v>95</v>
      </c>
      <c r="F10" s="52" t="s">
        <v>96</v>
      </c>
      <c r="G10" s="52" t="s">
        <v>96</v>
      </c>
      <c r="H10" s="55" t="s">
        <v>96</v>
      </c>
      <c r="I10" s="51" t="s">
        <v>96</v>
      </c>
      <c r="J10" s="52" t="s">
        <v>96</v>
      </c>
      <c r="K10" s="53" t="s">
        <v>96</v>
      </c>
      <c r="L10" s="54" t="s">
        <v>96</v>
      </c>
      <c r="M10" s="52" t="s">
        <v>97</v>
      </c>
      <c r="N10" s="52" t="s">
        <v>96</v>
      </c>
      <c r="O10" s="52" t="s">
        <v>98</v>
      </c>
      <c r="P10" s="55" t="s">
        <v>98</v>
      </c>
      <c r="Q10" s="68" t="s">
        <v>96</v>
      </c>
      <c r="R10" s="56" t="s">
        <v>96</v>
      </c>
      <c r="S10" s="56" t="s">
        <v>97</v>
      </c>
      <c r="T10" s="56" t="s">
        <v>97</v>
      </c>
      <c r="U10" s="56" t="s">
        <v>96</v>
      </c>
      <c r="V10" s="56" t="s">
        <v>96</v>
      </c>
      <c r="W10" s="56" t="s">
        <v>95</v>
      </c>
      <c r="X10" s="56" t="s">
        <v>95</v>
      </c>
      <c r="Y10" s="56" t="s">
        <v>98</v>
      </c>
      <c r="Z10" s="57" t="s">
        <v>98</v>
      </c>
      <c r="AA10" s="569"/>
      <c r="AB10" s="569"/>
      <c r="AC10" s="569"/>
      <c r="AD10" s="569"/>
      <c r="AE10" s="569"/>
      <c r="AF10" s="569"/>
      <c r="AG10" s="569"/>
      <c r="AH10" s="569"/>
      <c r="AI10" s="569"/>
      <c r="AJ10" s="569"/>
      <c r="AK10" s="569"/>
      <c r="AL10" s="569"/>
      <c r="AM10" s="569"/>
      <c r="AN10" s="569"/>
      <c r="AO10" s="569"/>
      <c r="AP10" s="569"/>
      <c r="AQ10" s="569"/>
      <c r="AR10" s="569"/>
      <c r="AS10" s="569"/>
      <c r="AT10" s="569"/>
      <c r="AU10" s="569"/>
      <c r="AV10" s="570"/>
      <c r="AW10" s="58"/>
      <c r="AX10" s="596"/>
      <c r="AY10" s="599"/>
      <c r="AZ10" s="562"/>
      <c r="BA10" s="558"/>
      <c r="BB10" s="543"/>
      <c r="BC10" s="546"/>
      <c r="BD10" s="543"/>
      <c r="BE10" s="578"/>
      <c r="BF10" s="575"/>
      <c r="BH10" s="559"/>
      <c r="BI10" s="548"/>
      <c r="BJ10" s="548"/>
      <c r="BK10" s="548"/>
      <c r="BL10" s="543"/>
      <c r="BM10" s="562"/>
      <c r="BN10" s="59"/>
      <c r="BO10" s="91"/>
      <c r="BP10" s="71" t="s">
        <v>49</v>
      </c>
      <c r="BR10" s="82" t="s">
        <v>116</v>
      </c>
      <c r="BS10" s="73"/>
      <c r="BT10" s="83" t="s">
        <v>54</v>
      </c>
      <c r="BU10" s="78"/>
      <c r="BV10" s="84" t="s">
        <v>117</v>
      </c>
      <c r="BW10" s="76"/>
      <c r="BX10" s="540"/>
      <c r="BY10" s="540"/>
      <c r="BZ10" s="540"/>
      <c r="CA10" s="83" t="s">
        <v>107</v>
      </c>
      <c r="CB10" s="540"/>
      <c r="CC10" s="83" t="s">
        <v>107</v>
      </c>
      <c r="CD10" s="540"/>
    </row>
    <row r="11" spans="2:82" ht="15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3"/>
      <c r="AW11" s="64"/>
      <c r="AX11" s="65"/>
      <c r="AY11" s="66"/>
      <c r="AZ11" s="60"/>
      <c r="BA11" s="61"/>
      <c r="BB11" s="61"/>
      <c r="BC11" s="66"/>
      <c r="BD11" s="61"/>
      <c r="BE11" s="61"/>
      <c r="BF11" s="61"/>
      <c r="BH11" s="61"/>
      <c r="BI11" s="61"/>
      <c r="BJ11" s="61"/>
      <c r="BK11" s="61"/>
      <c r="BL11" s="61"/>
      <c r="BM11" s="63"/>
      <c r="BR11" s="76"/>
      <c r="BS11" s="76"/>
      <c r="BT11" s="89"/>
      <c r="BU11" s="78"/>
      <c r="BV11" s="90"/>
      <c r="BW11" s="76"/>
      <c r="BX11" s="89"/>
      <c r="BY11" s="89"/>
      <c r="BZ11" s="89"/>
      <c r="CA11" s="89"/>
      <c r="CB11" s="89"/>
      <c r="CC11" s="89"/>
      <c r="CD11" s="89"/>
    </row>
    <row r="12" spans="2:82" s="193" customFormat="1" ht="26.25" customHeight="1" x14ac:dyDescent="0.2">
      <c r="B12" s="174">
        <v>0</v>
      </c>
      <c r="C12" s="174">
        <f>B12+200</f>
        <v>200</v>
      </c>
      <c r="D12" s="175">
        <f t="shared" ref="D12:D24" si="0">C12-B12</f>
        <v>200</v>
      </c>
      <c r="E12" s="176">
        <v>2</v>
      </c>
      <c r="F12" s="176">
        <v>4</v>
      </c>
      <c r="G12" s="176">
        <v>2</v>
      </c>
      <c r="H12" s="176">
        <v>2</v>
      </c>
      <c r="I12" s="176">
        <v>4</v>
      </c>
      <c r="J12" s="176">
        <v>4</v>
      </c>
      <c r="K12" s="176">
        <v>4</v>
      </c>
      <c r="L12" s="176">
        <v>5</v>
      </c>
      <c r="M12" s="176">
        <v>4</v>
      </c>
      <c r="N12" s="176">
        <v>2</v>
      </c>
      <c r="O12" s="176">
        <v>3</v>
      </c>
      <c r="P12" s="176">
        <v>3</v>
      </c>
      <c r="Q12" s="176">
        <v>2</v>
      </c>
      <c r="R12" s="176">
        <v>2</v>
      </c>
      <c r="S12" s="176">
        <v>2</v>
      </c>
      <c r="T12" s="176">
        <v>2</v>
      </c>
      <c r="U12" s="176">
        <v>2</v>
      </c>
      <c r="V12" s="176">
        <v>2</v>
      </c>
      <c r="W12" s="176">
        <v>1</v>
      </c>
      <c r="X12" s="176">
        <v>1</v>
      </c>
      <c r="Y12" s="176">
        <v>1</v>
      </c>
      <c r="Z12" s="176">
        <v>1</v>
      </c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6"/>
      <c r="AW12" s="178"/>
      <c r="AX12" s="179"/>
      <c r="AY12" s="180"/>
      <c r="AZ12" s="181" t="str">
        <f t="shared" ref="AZ12:AZ24" si="1">IF(OR((SUM(AA12:AV12)+AY12)&gt;0,D12&lt;=0),"ERROR","OK")</f>
        <v>OK</v>
      </c>
      <c r="BA12" s="182">
        <f t="shared" ref="BA12:BA24" si="2">IF(AND(K12=1,AZ12="OK"),0,IF(AND(K12=2,AZ12="OK"),5,IF(AND(K12=3,AZ12="OK"),20,IF(AND(K12=4,AZ12="OK"),40,0))))</f>
        <v>40</v>
      </c>
      <c r="BB12" s="183">
        <f t="shared" ref="BB12:BB24" si="3">IF(AND(J12=4,AZ12="OK"),BA12*2,0)</f>
        <v>80</v>
      </c>
      <c r="BC12" s="184">
        <f t="shared" ref="BC12:BC24" si="4">IF(BB12=0,BA12,BB12)</f>
        <v>80</v>
      </c>
      <c r="BD12" s="183">
        <f t="shared" ref="BD12:BD24" si="5">IF(AND(L12=1,AZ12="OK"),0,IF(AND(L12=2,AZ12="OK"),BC12+15,IF(AND(L12=3,AZ12="OK"),BC12+75,IF(AND(L12=4,AZ12="OK"),BC12+225,0))))</f>
        <v>0</v>
      </c>
      <c r="BE12" s="183">
        <f t="shared" ref="BE12:BE24" si="6">IF(AND(N12=1,AZ12="OK"),0,IF(AND(N12=2,AZ12="OK"),BD12+(5*0.5),IF(AND(N12=3,AZ12="OK"),BD12+(5*2),IF(AND(N12=4,AZ12="OK"),BD12+(4*5),0))))</f>
        <v>2.5</v>
      </c>
      <c r="BF12" s="185">
        <f t="shared" ref="BF12:BF24" si="7">IF(BE12&gt;0,BE12,IF(BD12&gt;0,BD12,BB12))</f>
        <v>2.5</v>
      </c>
      <c r="BH12" s="186">
        <f t="shared" ref="BH12:BH24" si="8">IF(AND(AND(AX12&lt;=4,BF12&lt;=50 ),AZ12="OK"),D12,0)</f>
        <v>200</v>
      </c>
      <c r="BI12" s="187">
        <f t="shared" ref="BI12:BI24" si="9">IF(AND(AND(AX12&lt;=4,AND(BF12&gt;50,BF12&lt;=100)),AZ12="OK"),D12,IF(AND(AND(AND(AX12&gt;4,AX12&lt;=8),BF12&lt;=100),AZ12="OK"),D12,0))</f>
        <v>0</v>
      </c>
      <c r="BJ12" s="187">
        <f t="shared" ref="BJ12:BJ24" si="10">IF(AND(AND(AX12&lt;=8,AND(BF12&gt;100,BF12&lt;=150)),AZ12="OK"),D12,IF(AND(AND(AND(AX12&gt;8,AX12&lt;=12),BF12&lt;=150),AZ12="OK"),D12,0))</f>
        <v>0</v>
      </c>
      <c r="BK12" s="188">
        <f t="shared" ref="BK12:BK24" si="11">IF(AND(AND(AX12&gt;12,BF12&gt;=0),AZ12="OK"),D12,IF(AND(AND(AX12&lt;=12,BF12&gt;150),AZ12="OK"),D12,0))</f>
        <v>0</v>
      </c>
      <c r="BL12" s="187">
        <f>BH12+BI12</f>
        <v>200</v>
      </c>
      <c r="BM12" s="189">
        <f t="shared" ref="BM12:BM24" si="12">BJ12+BK12</f>
        <v>0</v>
      </c>
      <c r="BN12" s="190" t="str">
        <f t="shared" ref="BN12:BN24" si="13">IF(AND((BH12+BI12)&gt;0,(BJ12+BK12)=0),"Pemeliharaan Rutin",IF(AND((BH12+BI12+BK12)=0,BJ12&gt;0),"Pemeliharaan Berkala", IF(AND((BH12+BI12+BJ12)=0,BK12&gt;0),"Peningkatan/Rekonstruksi","")))</f>
        <v>Pemeliharaan Rutin</v>
      </c>
      <c r="BO12" s="191"/>
      <c r="BP12" s="192" t="str">
        <f>IF(BF12&lt;50,"B",IF(BF12&lt;=100,"S",IF(BF12&lt;150,"RR","RB")))</f>
        <v>B</v>
      </c>
      <c r="BR12" s="194" t="s">
        <v>49</v>
      </c>
      <c r="BS12" s="211"/>
      <c r="BT12" s="194" t="s">
        <v>54</v>
      </c>
      <c r="BU12" s="212"/>
      <c r="BV12" s="195" t="s">
        <v>119</v>
      </c>
      <c r="BW12" s="212"/>
      <c r="BX12" s="195">
        <v>8</v>
      </c>
      <c r="BY12" s="195">
        <v>0.7</v>
      </c>
      <c r="BZ12" s="195">
        <v>0.7</v>
      </c>
      <c r="CA12" s="195" t="s">
        <v>120</v>
      </c>
      <c r="CB12" s="195" t="s">
        <v>121</v>
      </c>
      <c r="CC12" s="195" t="s">
        <v>122</v>
      </c>
      <c r="CD12" s="195" t="s">
        <v>121</v>
      </c>
    </row>
    <row r="13" spans="2:82" s="193" customFormat="1" ht="26.25" customHeight="1" x14ac:dyDescent="0.2">
      <c r="B13" s="174">
        <f>C12</f>
        <v>200</v>
      </c>
      <c r="C13" s="174">
        <f>B13+200</f>
        <v>400</v>
      </c>
      <c r="D13" s="175">
        <f t="shared" si="0"/>
        <v>200</v>
      </c>
      <c r="E13" s="176">
        <v>2</v>
      </c>
      <c r="F13" s="176">
        <v>3</v>
      </c>
      <c r="G13" s="176">
        <v>2</v>
      </c>
      <c r="H13" s="176">
        <v>1</v>
      </c>
      <c r="I13" s="176">
        <v>3</v>
      </c>
      <c r="J13" s="176">
        <v>4</v>
      </c>
      <c r="K13" s="176">
        <v>4</v>
      </c>
      <c r="L13" s="176">
        <v>2</v>
      </c>
      <c r="M13" s="176">
        <v>2</v>
      </c>
      <c r="N13" s="176">
        <v>1</v>
      </c>
      <c r="O13" s="176">
        <v>2</v>
      </c>
      <c r="P13" s="176">
        <v>2</v>
      </c>
      <c r="Q13" s="176">
        <v>2</v>
      </c>
      <c r="R13" s="176">
        <v>2</v>
      </c>
      <c r="S13" s="176">
        <v>2</v>
      </c>
      <c r="T13" s="176">
        <v>2</v>
      </c>
      <c r="U13" s="176">
        <v>2</v>
      </c>
      <c r="V13" s="176">
        <v>2</v>
      </c>
      <c r="W13" s="176">
        <v>1</v>
      </c>
      <c r="X13" s="176">
        <v>1</v>
      </c>
      <c r="Y13" s="176">
        <v>2</v>
      </c>
      <c r="Z13" s="176">
        <v>2</v>
      </c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6"/>
      <c r="AW13" s="178"/>
      <c r="AX13" s="179"/>
      <c r="AY13" s="180"/>
      <c r="AZ13" s="181" t="str">
        <f t="shared" si="1"/>
        <v>OK</v>
      </c>
      <c r="BA13" s="182">
        <f t="shared" si="2"/>
        <v>40</v>
      </c>
      <c r="BB13" s="183">
        <f t="shared" si="3"/>
        <v>80</v>
      </c>
      <c r="BC13" s="184">
        <f t="shared" si="4"/>
        <v>80</v>
      </c>
      <c r="BD13" s="183">
        <f t="shared" si="5"/>
        <v>95</v>
      </c>
      <c r="BE13" s="183">
        <f t="shared" si="6"/>
        <v>0</v>
      </c>
      <c r="BF13" s="185">
        <f t="shared" si="7"/>
        <v>95</v>
      </c>
      <c r="BH13" s="186">
        <f t="shared" si="8"/>
        <v>0</v>
      </c>
      <c r="BI13" s="187">
        <f t="shared" si="9"/>
        <v>200</v>
      </c>
      <c r="BJ13" s="187">
        <f t="shared" si="10"/>
        <v>0</v>
      </c>
      <c r="BK13" s="188">
        <f t="shared" si="11"/>
        <v>0</v>
      </c>
      <c r="BL13" s="187">
        <f t="shared" ref="BL13:BL24" si="14">BH13+BI13</f>
        <v>200</v>
      </c>
      <c r="BM13" s="189">
        <f t="shared" si="12"/>
        <v>0</v>
      </c>
      <c r="BN13" s="190" t="str">
        <f t="shared" si="13"/>
        <v>Pemeliharaan Rutin</v>
      </c>
      <c r="BO13" s="191"/>
      <c r="BP13" s="192" t="str">
        <f t="shared" ref="BP13:BP46" si="15">IF(BF13&lt;50,"B",IF(BF13&lt;=100,"S",IF(BF13&lt;150,"RR","RB")))</f>
        <v>S</v>
      </c>
      <c r="BR13" s="194" t="s">
        <v>47</v>
      </c>
      <c r="BS13" s="194"/>
      <c r="BT13" s="194" t="s">
        <v>56</v>
      </c>
      <c r="BU13" s="212"/>
      <c r="BV13" s="195" t="s">
        <v>119</v>
      </c>
      <c r="BW13" s="212"/>
      <c r="BX13" s="195">
        <v>8</v>
      </c>
      <c r="BY13" s="195"/>
      <c r="BZ13" s="195">
        <v>1</v>
      </c>
      <c r="CA13" s="195" t="s">
        <v>122</v>
      </c>
      <c r="CB13" s="195" t="s">
        <v>121</v>
      </c>
      <c r="CC13" s="195" t="s">
        <v>122</v>
      </c>
      <c r="CD13" s="195"/>
    </row>
    <row r="14" spans="2:82" s="193" customFormat="1" ht="26.25" customHeight="1" x14ac:dyDescent="0.2">
      <c r="B14" s="174">
        <f t="shared" ref="B14:B28" si="16">C13</f>
        <v>400</v>
      </c>
      <c r="C14" s="174">
        <f t="shared" ref="C14:C28" si="17">B14+200</f>
        <v>600</v>
      </c>
      <c r="D14" s="175">
        <f t="shared" si="0"/>
        <v>200</v>
      </c>
      <c r="E14" s="176">
        <v>2</v>
      </c>
      <c r="F14" s="176">
        <v>3</v>
      </c>
      <c r="G14" s="176">
        <v>2</v>
      </c>
      <c r="H14" s="176">
        <v>1</v>
      </c>
      <c r="I14" s="176">
        <v>3</v>
      </c>
      <c r="J14" s="176">
        <v>4</v>
      </c>
      <c r="K14" s="176">
        <v>4</v>
      </c>
      <c r="L14" s="176">
        <v>2</v>
      </c>
      <c r="M14" s="176">
        <v>2</v>
      </c>
      <c r="N14" s="176">
        <v>1</v>
      </c>
      <c r="O14" s="176">
        <v>2</v>
      </c>
      <c r="P14" s="176">
        <v>2</v>
      </c>
      <c r="Q14" s="176">
        <v>2</v>
      </c>
      <c r="R14" s="176">
        <v>2</v>
      </c>
      <c r="S14" s="176">
        <v>2</v>
      </c>
      <c r="T14" s="176">
        <v>2</v>
      </c>
      <c r="U14" s="176">
        <v>2</v>
      </c>
      <c r="V14" s="176">
        <v>2</v>
      </c>
      <c r="W14" s="176">
        <v>1</v>
      </c>
      <c r="X14" s="176">
        <v>1</v>
      </c>
      <c r="Y14" s="176">
        <v>2</v>
      </c>
      <c r="Z14" s="176">
        <v>2</v>
      </c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6"/>
      <c r="AW14" s="178"/>
      <c r="AX14" s="179"/>
      <c r="AY14" s="180"/>
      <c r="AZ14" s="181" t="str">
        <f t="shared" si="1"/>
        <v>OK</v>
      </c>
      <c r="BA14" s="182">
        <f t="shared" si="2"/>
        <v>40</v>
      </c>
      <c r="BB14" s="183">
        <f t="shared" si="3"/>
        <v>80</v>
      </c>
      <c r="BC14" s="184">
        <f t="shared" si="4"/>
        <v>80</v>
      </c>
      <c r="BD14" s="183">
        <f t="shared" si="5"/>
        <v>95</v>
      </c>
      <c r="BE14" s="183">
        <f t="shared" si="6"/>
        <v>0</v>
      </c>
      <c r="BF14" s="185">
        <f t="shared" si="7"/>
        <v>95</v>
      </c>
      <c r="BH14" s="186">
        <f t="shared" si="8"/>
        <v>0</v>
      </c>
      <c r="BI14" s="187">
        <f t="shared" si="9"/>
        <v>200</v>
      </c>
      <c r="BJ14" s="187">
        <f t="shared" si="10"/>
        <v>0</v>
      </c>
      <c r="BK14" s="188">
        <f t="shared" si="11"/>
        <v>0</v>
      </c>
      <c r="BL14" s="187">
        <f t="shared" si="14"/>
        <v>200</v>
      </c>
      <c r="BM14" s="189">
        <f t="shared" si="12"/>
        <v>0</v>
      </c>
      <c r="BN14" s="190" t="str">
        <f t="shared" si="13"/>
        <v>Pemeliharaan Rutin</v>
      </c>
      <c r="BO14" s="191"/>
      <c r="BP14" s="192" t="str">
        <f t="shared" si="15"/>
        <v>S</v>
      </c>
      <c r="BR14" s="194" t="s">
        <v>46</v>
      </c>
      <c r="BS14" s="194"/>
      <c r="BT14" s="194" t="s">
        <v>55</v>
      </c>
      <c r="BU14" s="212"/>
      <c r="BV14" s="195" t="s">
        <v>119</v>
      </c>
      <c r="BW14" s="212"/>
      <c r="BX14" s="195">
        <v>8</v>
      </c>
      <c r="BY14" s="195"/>
      <c r="BZ14" s="195"/>
      <c r="CA14" s="195" t="s">
        <v>122</v>
      </c>
      <c r="CB14" s="195"/>
      <c r="CC14" s="195" t="s">
        <v>122</v>
      </c>
      <c r="CD14" s="195"/>
    </row>
    <row r="15" spans="2:82" s="193" customFormat="1" ht="26.25" customHeight="1" x14ac:dyDescent="0.2">
      <c r="B15" s="174">
        <f t="shared" si="16"/>
        <v>600</v>
      </c>
      <c r="C15" s="174">
        <f t="shared" si="17"/>
        <v>800</v>
      </c>
      <c r="D15" s="175">
        <f t="shared" si="0"/>
        <v>200</v>
      </c>
      <c r="E15" s="176">
        <v>2</v>
      </c>
      <c r="F15" s="176">
        <v>3</v>
      </c>
      <c r="G15" s="176">
        <v>2</v>
      </c>
      <c r="H15" s="176">
        <v>1</v>
      </c>
      <c r="I15" s="176">
        <v>3</v>
      </c>
      <c r="J15" s="176">
        <v>4</v>
      </c>
      <c r="K15" s="176">
        <v>4</v>
      </c>
      <c r="L15" s="176">
        <v>2</v>
      </c>
      <c r="M15" s="176">
        <v>2</v>
      </c>
      <c r="N15" s="176">
        <v>1</v>
      </c>
      <c r="O15" s="176">
        <v>2</v>
      </c>
      <c r="P15" s="176">
        <v>2</v>
      </c>
      <c r="Q15" s="176">
        <v>2</v>
      </c>
      <c r="R15" s="176">
        <v>2</v>
      </c>
      <c r="S15" s="176">
        <v>2</v>
      </c>
      <c r="T15" s="176">
        <v>2</v>
      </c>
      <c r="U15" s="176">
        <v>2</v>
      </c>
      <c r="V15" s="176">
        <v>2</v>
      </c>
      <c r="W15" s="176">
        <v>1</v>
      </c>
      <c r="X15" s="176">
        <v>1</v>
      </c>
      <c r="Y15" s="176">
        <v>2</v>
      </c>
      <c r="Z15" s="176">
        <v>2</v>
      </c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6"/>
      <c r="AW15" s="178"/>
      <c r="AX15" s="179"/>
      <c r="AY15" s="180"/>
      <c r="AZ15" s="181" t="str">
        <f t="shared" si="1"/>
        <v>OK</v>
      </c>
      <c r="BA15" s="182">
        <f t="shared" si="2"/>
        <v>40</v>
      </c>
      <c r="BB15" s="183">
        <f t="shared" si="3"/>
        <v>80</v>
      </c>
      <c r="BC15" s="184">
        <f t="shared" si="4"/>
        <v>80</v>
      </c>
      <c r="BD15" s="183">
        <f t="shared" si="5"/>
        <v>95</v>
      </c>
      <c r="BE15" s="183">
        <f t="shared" si="6"/>
        <v>0</v>
      </c>
      <c r="BF15" s="185">
        <f t="shared" si="7"/>
        <v>95</v>
      </c>
      <c r="BH15" s="186">
        <f t="shared" si="8"/>
        <v>0</v>
      </c>
      <c r="BI15" s="187">
        <f t="shared" si="9"/>
        <v>200</v>
      </c>
      <c r="BJ15" s="187">
        <f t="shared" si="10"/>
        <v>0</v>
      </c>
      <c r="BK15" s="188">
        <f t="shared" si="11"/>
        <v>0</v>
      </c>
      <c r="BL15" s="187">
        <f t="shared" si="14"/>
        <v>200</v>
      </c>
      <c r="BM15" s="189">
        <f t="shared" si="12"/>
        <v>0</v>
      </c>
      <c r="BN15" s="190" t="str">
        <f t="shared" si="13"/>
        <v>Pemeliharaan Rutin</v>
      </c>
      <c r="BO15" s="191"/>
      <c r="BP15" s="192" t="str">
        <f t="shared" si="15"/>
        <v>S</v>
      </c>
      <c r="BR15" s="194" t="s">
        <v>46</v>
      </c>
      <c r="BS15" s="194"/>
      <c r="BT15" s="194" t="s">
        <v>55</v>
      </c>
      <c r="BU15" s="212"/>
      <c r="BV15" s="195" t="s">
        <v>119</v>
      </c>
      <c r="BW15" s="212"/>
      <c r="BX15" s="195">
        <v>4.5</v>
      </c>
      <c r="BY15" s="195">
        <v>1.2</v>
      </c>
      <c r="BZ15" s="195">
        <v>1.1000000000000001</v>
      </c>
      <c r="CA15" s="195" t="s">
        <v>122</v>
      </c>
      <c r="CB15" s="195" t="s">
        <v>121</v>
      </c>
      <c r="CC15" s="195" t="s">
        <v>122</v>
      </c>
      <c r="CD15" s="195" t="s">
        <v>121</v>
      </c>
    </row>
    <row r="16" spans="2:82" s="193" customFormat="1" ht="26.25" customHeight="1" x14ac:dyDescent="0.2">
      <c r="B16" s="174">
        <f t="shared" si="16"/>
        <v>800</v>
      </c>
      <c r="C16" s="174">
        <f t="shared" si="17"/>
        <v>1000</v>
      </c>
      <c r="D16" s="175">
        <f t="shared" si="0"/>
        <v>200</v>
      </c>
      <c r="E16" s="176">
        <v>2</v>
      </c>
      <c r="F16" s="176">
        <v>3</v>
      </c>
      <c r="G16" s="176">
        <v>2</v>
      </c>
      <c r="H16" s="176">
        <v>1</v>
      </c>
      <c r="I16" s="176">
        <v>3</v>
      </c>
      <c r="J16" s="176">
        <v>4</v>
      </c>
      <c r="K16" s="176">
        <v>4</v>
      </c>
      <c r="L16" s="176">
        <v>2</v>
      </c>
      <c r="M16" s="176">
        <v>2</v>
      </c>
      <c r="N16" s="176">
        <v>1</v>
      </c>
      <c r="O16" s="176">
        <v>2</v>
      </c>
      <c r="P16" s="176">
        <v>2</v>
      </c>
      <c r="Q16" s="176">
        <v>2</v>
      </c>
      <c r="R16" s="176">
        <v>2</v>
      </c>
      <c r="S16" s="176">
        <v>2</v>
      </c>
      <c r="T16" s="176">
        <v>2</v>
      </c>
      <c r="U16" s="176">
        <v>2</v>
      </c>
      <c r="V16" s="176">
        <v>3</v>
      </c>
      <c r="W16" s="176">
        <v>1</v>
      </c>
      <c r="X16" s="176">
        <v>1</v>
      </c>
      <c r="Y16" s="176">
        <v>1</v>
      </c>
      <c r="Z16" s="176">
        <v>1</v>
      </c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6"/>
      <c r="AW16" s="178"/>
      <c r="AX16" s="179"/>
      <c r="AY16" s="180"/>
      <c r="AZ16" s="181" t="str">
        <f t="shared" si="1"/>
        <v>OK</v>
      </c>
      <c r="BA16" s="182">
        <f t="shared" si="2"/>
        <v>40</v>
      </c>
      <c r="BB16" s="183">
        <f t="shared" si="3"/>
        <v>80</v>
      </c>
      <c r="BC16" s="184">
        <f t="shared" si="4"/>
        <v>80</v>
      </c>
      <c r="BD16" s="183">
        <f t="shared" si="5"/>
        <v>95</v>
      </c>
      <c r="BE16" s="183">
        <f t="shared" si="6"/>
        <v>0</v>
      </c>
      <c r="BF16" s="185">
        <f t="shared" si="7"/>
        <v>95</v>
      </c>
      <c r="BH16" s="186">
        <f t="shared" si="8"/>
        <v>0</v>
      </c>
      <c r="BI16" s="187">
        <f t="shared" si="9"/>
        <v>200</v>
      </c>
      <c r="BJ16" s="187">
        <f t="shared" si="10"/>
        <v>0</v>
      </c>
      <c r="BK16" s="188">
        <f t="shared" si="11"/>
        <v>0</v>
      </c>
      <c r="BL16" s="187">
        <f t="shared" si="14"/>
        <v>200</v>
      </c>
      <c r="BM16" s="189">
        <f t="shared" si="12"/>
        <v>0</v>
      </c>
      <c r="BN16" s="190" t="str">
        <f t="shared" si="13"/>
        <v>Pemeliharaan Rutin</v>
      </c>
      <c r="BO16" s="191"/>
      <c r="BP16" s="192" t="str">
        <f t="shared" si="15"/>
        <v>S</v>
      </c>
      <c r="BR16" s="194" t="s">
        <v>46</v>
      </c>
      <c r="BS16" s="194"/>
      <c r="BT16" s="194" t="s">
        <v>55</v>
      </c>
      <c r="BU16" s="212"/>
      <c r="BV16" s="195" t="s">
        <v>119</v>
      </c>
      <c r="BW16" s="212"/>
      <c r="BX16" s="195">
        <v>4.5</v>
      </c>
      <c r="BY16" s="195">
        <v>1.8</v>
      </c>
      <c r="BZ16" s="195">
        <v>2</v>
      </c>
      <c r="CA16" s="195" t="s">
        <v>123</v>
      </c>
      <c r="CB16" s="195" t="s">
        <v>121</v>
      </c>
      <c r="CC16" s="195" t="s">
        <v>123</v>
      </c>
      <c r="CD16" s="195" t="s">
        <v>121</v>
      </c>
    </row>
    <row r="17" spans="2:82" s="193" customFormat="1" ht="26.25" customHeight="1" x14ac:dyDescent="0.2">
      <c r="B17" s="174">
        <f t="shared" si="16"/>
        <v>1000</v>
      </c>
      <c r="C17" s="174">
        <f t="shared" si="17"/>
        <v>1200</v>
      </c>
      <c r="D17" s="175">
        <f t="shared" si="0"/>
        <v>200</v>
      </c>
      <c r="E17" s="176">
        <v>2</v>
      </c>
      <c r="F17" s="176">
        <v>3</v>
      </c>
      <c r="G17" s="176">
        <v>2</v>
      </c>
      <c r="H17" s="176">
        <v>1</v>
      </c>
      <c r="I17" s="176">
        <v>3</v>
      </c>
      <c r="J17" s="176">
        <v>4</v>
      </c>
      <c r="K17" s="176">
        <v>4</v>
      </c>
      <c r="L17" s="176">
        <v>2</v>
      </c>
      <c r="M17" s="176">
        <v>2</v>
      </c>
      <c r="N17" s="176">
        <v>1</v>
      </c>
      <c r="O17" s="176">
        <v>2</v>
      </c>
      <c r="P17" s="176">
        <v>2</v>
      </c>
      <c r="Q17" s="176">
        <v>2</v>
      </c>
      <c r="R17" s="176">
        <v>2</v>
      </c>
      <c r="S17" s="176">
        <v>2</v>
      </c>
      <c r="T17" s="176">
        <v>2</v>
      </c>
      <c r="U17" s="176">
        <v>2</v>
      </c>
      <c r="V17" s="176">
        <v>3</v>
      </c>
      <c r="W17" s="176">
        <v>1</v>
      </c>
      <c r="X17" s="176">
        <v>1</v>
      </c>
      <c r="Y17" s="176">
        <v>1</v>
      </c>
      <c r="Z17" s="176">
        <v>1</v>
      </c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6"/>
      <c r="AW17" s="178"/>
      <c r="AX17" s="179"/>
      <c r="AY17" s="180"/>
      <c r="AZ17" s="181" t="str">
        <f t="shared" si="1"/>
        <v>OK</v>
      </c>
      <c r="BA17" s="182">
        <f t="shared" si="2"/>
        <v>40</v>
      </c>
      <c r="BB17" s="183">
        <f t="shared" si="3"/>
        <v>80</v>
      </c>
      <c r="BC17" s="184">
        <f t="shared" si="4"/>
        <v>80</v>
      </c>
      <c r="BD17" s="183">
        <f t="shared" si="5"/>
        <v>95</v>
      </c>
      <c r="BE17" s="183">
        <f t="shared" si="6"/>
        <v>0</v>
      </c>
      <c r="BF17" s="185">
        <f t="shared" si="7"/>
        <v>95</v>
      </c>
      <c r="BH17" s="186">
        <f t="shared" si="8"/>
        <v>0</v>
      </c>
      <c r="BI17" s="187">
        <f t="shared" si="9"/>
        <v>200</v>
      </c>
      <c r="BJ17" s="187">
        <f t="shared" si="10"/>
        <v>0</v>
      </c>
      <c r="BK17" s="188">
        <f t="shared" si="11"/>
        <v>0</v>
      </c>
      <c r="BL17" s="187">
        <f t="shared" si="14"/>
        <v>200</v>
      </c>
      <c r="BM17" s="189">
        <f t="shared" si="12"/>
        <v>0</v>
      </c>
      <c r="BN17" s="190" t="str">
        <f t="shared" si="13"/>
        <v>Pemeliharaan Rutin</v>
      </c>
      <c r="BO17" s="191"/>
      <c r="BP17" s="192" t="str">
        <f t="shared" si="15"/>
        <v>S</v>
      </c>
      <c r="BR17" s="194" t="s">
        <v>46</v>
      </c>
      <c r="BS17" s="194"/>
      <c r="BT17" s="194" t="s">
        <v>55</v>
      </c>
      <c r="BU17" s="212"/>
      <c r="BV17" s="195" t="s">
        <v>119</v>
      </c>
      <c r="BW17" s="212"/>
      <c r="BX17" s="195">
        <v>4.5</v>
      </c>
      <c r="BY17" s="195">
        <v>1.2</v>
      </c>
      <c r="BZ17" s="195">
        <v>2.2000000000000002</v>
      </c>
      <c r="CA17" s="195" t="s">
        <v>123</v>
      </c>
      <c r="CB17" s="195"/>
      <c r="CC17" s="195" t="s">
        <v>123</v>
      </c>
      <c r="CD17" s="195" t="s">
        <v>121</v>
      </c>
    </row>
    <row r="18" spans="2:82" s="193" customFormat="1" ht="26.25" customHeight="1" x14ac:dyDescent="0.2">
      <c r="B18" s="174">
        <f t="shared" si="16"/>
        <v>1200</v>
      </c>
      <c r="C18" s="174">
        <f t="shared" si="17"/>
        <v>1400</v>
      </c>
      <c r="D18" s="175">
        <f t="shared" si="0"/>
        <v>200</v>
      </c>
      <c r="E18" s="176">
        <v>2</v>
      </c>
      <c r="F18" s="176">
        <v>3</v>
      </c>
      <c r="G18" s="176">
        <v>2</v>
      </c>
      <c r="H18" s="176">
        <v>1</v>
      </c>
      <c r="I18" s="176">
        <v>3</v>
      </c>
      <c r="J18" s="176">
        <v>4</v>
      </c>
      <c r="K18" s="176">
        <v>4</v>
      </c>
      <c r="L18" s="176">
        <v>2</v>
      </c>
      <c r="M18" s="176">
        <v>2</v>
      </c>
      <c r="N18" s="176">
        <v>1</v>
      </c>
      <c r="O18" s="176">
        <v>2</v>
      </c>
      <c r="P18" s="176">
        <v>2</v>
      </c>
      <c r="Q18" s="176">
        <v>2</v>
      </c>
      <c r="R18" s="176">
        <v>2</v>
      </c>
      <c r="S18" s="176">
        <v>2</v>
      </c>
      <c r="T18" s="176">
        <v>2</v>
      </c>
      <c r="U18" s="176">
        <v>2</v>
      </c>
      <c r="V18" s="176">
        <v>2</v>
      </c>
      <c r="W18" s="176">
        <v>1</v>
      </c>
      <c r="X18" s="176">
        <v>1</v>
      </c>
      <c r="Y18" s="176">
        <v>1</v>
      </c>
      <c r="Z18" s="176">
        <v>1</v>
      </c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6"/>
      <c r="AW18" s="178"/>
      <c r="AX18" s="179"/>
      <c r="AY18" s="180"/>
      <c r="AZ18" s="181" t="str">
        <f t="shared" si="1"/>
        <v>OK</v>
      </c>
      <c r="BA18" s="182">
        <f t="shared" si="2"/>
        <v>40</v>
      </c>
      <c r="BB18" s="183">
        <f t="shared" si="3"/>
        <v>80</v>
      </c>
      <c r="BC18" s="184">
        <f t="shared" si="4"/>
        <v>80</v>
      </c>
      <c r="BD18" s="183">
        <f t="shared" si="5"/>
        <v>95</v>
      </c>
      <c r="BE18" s="183">
        <f t="shared" si="6"/>
        <v>0</v>
      </c>
      <c r="BF18" s="185">
        <f t="shared" si="7"/>
        <v>95</v>
      </c>
      <c r="BH18" s="186">
        <f t="shared" si="8"/>
        <v>0</v>
      </c>
      <c r="BI18" s="187">
        <f t="shared" si="9"/>
        <v>200</v>
      </c>
      <c r="BJ18" s="187">
        <f t="shared" si="10"/>
        <v>0</v>
      </c>
      <c r="BK18" s="188">
        <f t="shared" si="11"/>
        <v>0</v>
      </c>
      <c r="BL18" s="187">
        <f t="shared" si="14"/>
        <v>200</v>
      </c>
      <c r="BM18" s="189">
        <f t="shared" si="12"/>
        <v>0</v>
      </c>
      <c r="BN18" s="190" t="str">
        <f t="shared" si="13"/>
        <v>Pemeliharaan Rutin</v>
      </c>
      <c r="BO18" s="191"/>
      <c r="BP18" s="192" t="str">
        <f t="shared" si="15"/>
        <v>S</v>
      </c>
      <c r="BR18" s="194" t="s">
        <v>46</v>
      </c>
      <c r="BS18" s="194"/>
      <c r="BT18" s="194" t="s">
        <v>55</v>
      </c>
      <c r="BU18" s="212"/>
      <c r="BV18" s="195" t="s">
        <v>119</v>
      </c>
      <c r="BW18" s="212"/>
      <c r="BX18" s="195">
        <v>4</v>
      </c>
      <c r="BY18" s="195">
        <v>1.5</v>
      </c>
      <c r="BZ18" s="195">
        <v>3</v>
      </c>
      <c r="CA18" s="195"/>
      <c r="CB18" s="195"/>
      <c r="CC18" s="195"/>
      <c r="CD18" s="195"/>
    </row>
    <row r="19" spans="2:82" s="193" customFormat="1" ht="26.25" customHeight="1" x14ac:dyDescent="0.2">
      <c r="B19" s="174">
        <f t="shared" si="16"/>
        <v>1400</v>
      </c>
      <c r="C19" s="174">
        <f t="shared" si="17"/>
        <v>1600</v>
      </c>
      <c r="D19" s="175">
        <f t="shared" si="0"/>
        <v>200</v>
      </c>
      <c r="E19" s="176">
        <v>2</v>
      </c>
      <c r="F19" s="176">
        <v>3</v>
      </c>
      <c r="G19" s="176">
        <v>2</v>
      </c>
      <c r="H19" s="176">
        <v>1</v>
      </c>
      <c r="I19" s="176">
        <v>3</v>
      </c>
      <c r="J19" s="176">
        <v>4</v>
      </c>
      <c r="K19" s="176">
        <v>4</v>
      </c>
      <c r="L19" s="176">
        <v>2</v>
      </c>
      <c r="M19" s="176">
        <v>2</v>
      </c>
      <c r="N19" s="176">
        <v>1</v>
      </c>
      <c r="O19" s="176">
        <v>2</v>
      </c>
      <c r="P19" s="176">
        <v>2</v>
      </c>
      <c r="Q19" s="176">
        <v>2</v>
      </c>
      <c r="R19" s="176">
        <v>2</v>
      </c>
      <c r="S19" s="176">
        <v>2</v>
      </c>
      <c r="T19" s="176">
        <v>2</v>
      </c>
      <c r="U19" s="176">
        <v>2</v>
      </c>
      <c r="V19" s="176">
        <v>2</v>
      </c>
      <c r="W19" s="176">
        <v>1</v>
      </c>
      <c r="X19" s="176">
        <v>1</v>
      </c>
      <c r="Y19" s="176">
        <v>1</v>
      </c>
      <c r="Z19" s="176">
        <v>1</v>
      </c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6"/>
      <c r="AW19" s="178"/>
      <c r="AX19" s="179"/>
      <c r="AY19" s="180"/>
      <c r="AZ19" s="181" t="str">
        <f t="shared" si="1"/>
        <v>OK</v>
      </c>
      <c r="BA19" s="182">
        <f t="shared" si="2"/>
        <v>40</v>
      </c>
      <c r="BB19" s="183">
        <f t="shared" si="3"/>
        <v>80</v>
      </c>
      <c r="BC19" s="184">
        <f t="shared" si="4"/>
        <v>80</v>
      </c>
      <c r="BD19" s="183">
        <f t="shared" si="5"/>
        <v>95</v>
      </c>
      <c r="BE19" s="183">
        <f t="shared" si="6"/>
        <v>0</v>
      </c>
      <c r="BF19" s="185">
        <f t="shared" si="7"/>
        <v>95</v>
      </c>
      <c r="BH19" s="186">
        <f t="shared" si="8"/>
        <v>0</v>
      </c>
      <c r="BI19" s="187">
        <f t="shared" si="9"/>
        <v>200</v>
      </c>
      <c r="BJ19" s="187">
        <f t="shared" si="10"/>
        <v>0</v>
      </c>
      <c r="BK19" s="188">
        <f t="shared" si="11"/>
        <v>0</v>
      </c>
      <c r="BL19" s="187">
        <f t="shared" si="14"/>
        <v>200</v>
      </c>
      <c r="BM19" s="189">
        <f t="shared" si="12"/>
        <v>0</v>
      </c>
      <c r="BN19" s="190" t="str">
        <f t="shared" si="13"/>
        <v>Pemeliharaan Rutin</v>
      </c>
      <c r="BO19" s="191"/>
      <c r="BP19" s="192" t="str">
        <f t="shared" si="15"/>
        <v>S</v>
      </c>
      <c r="BR19" s="194" t="s">
        <v>46</v>
      </c>
      <c r="BS19" s="194"/>
      <c r="BT19" s="194" t="s">
        <v>55</v>
      </c>
      <c r="BU19" s="212"/>
      <c r="BV19" s="195" t="s">
        <v>119</v>
      </c>
      <c r="BW19" s="212"/>
      <c r="BX19" s="195">
        <v>4</v>
      </c>
      <c r="BY19" s="195">
        <v>2.5</v>
      </c>
      <c r="BZ19" s="195">
        <v>1.2</v>
      </c>
      <c r="CA19" s="195" t="s">
        <v>124</v>
      </c>
      <c r="CB19" s="195" t="s">
        <v>121</v>
      </c>
      <c r="CC19" s="195" t="s">
        <v>124</v>
      </c>
      <c r="CD19" s="195" t="s">
        <v>121</v>
      </c>
    </row>
    <row r="20" spans="2:82" s="193" customFormat="1" ht="26.25" customHeight="1" x14ac:dyDescent="0.2">
      <c r="B20" s="174">
        <f t="shared" si="16"/>
        <v>1600</v>
      </c>
      <c r="C20" s="174">
        <f t="shared" si="17"/>
        <v>1800</v>
      </c>
      <c r="D20" s="175">
        <f t="shared" si="0"/>
        <v>200</v>
      </c>
      <c r="E20" s="176">
        <v>2</v>
      </c>
      <c r="F20" s="176">
        <v>3</v>
      </c>
      <c r="G20" s="176">
        <v>2</v>
      </c>
      <c r="H20" s="176">
        <v>1</v>
      </c>
      <c r="I20" s="176">
        <v>3</v>
      </c>
      <c r="J20" s="176">
        <v>4</v>
      </c>
      <c r="K20" s="176">
        <v>4</v>
      </c>
      <c r="L20" s="176">
        <v>2</v>
      </c>
      <c r="M20" s="176">
        <v>2</v>
      </c>
      <c r="N20" s="176">
        <v>1</v>
      </c>
      <c r="O20" s="176">
        <v>2</v>
      </c>
      <c r="P20" s="176">
        <v>2</v>
      </c>
      <c r="Q20" s="176">
        <v>2</v>
      </c>
      <c r="R20" s="176">
        <v>2</v>
      </c>
      <c r="S20" s="176">
        <v>2</v>
      </c>
      <c r="T20" s="176">
        <v>2</v>
      </c>
      <c r="U20" s="176">
        <v>2</v>
      </c>
      <c r="V20" s="176">
        <v>2</v>
      </c>
      <c r="W20" s="176">
        <v>1</v>
      </c>
      <c r="X20" s="176">
        <v>1</v>
      </c>
      <c r="Y20" s="176">
        <v>1</v>
      </c>
      <c r="Z20" s="176">
        <v>1</v>
      </c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6"/>
      <c r="AW20" s="178"/>
      <c r="AX20" s="179"/>
      <c r="AY20" s="180"/>
      <c r="AZ20" s="181" t="str">
        <f t="shared" si="1"/>
        <v>OK</v>
      </c>
      <c r="BA20" s="182">
        <f t="shared" si="2"/>
        <v>40</v>
      </c>
      <c r="BB20" s="183">
        <f t="shared" si="3"/>
        <v>80</v>
      </c>
      <c r="BC20" s="184">
        <f t="shared" si="4"/>
        <v>80</v>
      </c>
      <c r="BD20" s="183">
        <f t="shared" si="5"/>
        <v>95</v>
      </c>
      <c r="BE20" s="183">
        <f t="shared" si="6"/>
        <v>0</v>
      </c>
      <c r="BF20" s="185">
        <f t="shared" si="7"/>
        <v>95</v>
      </c>
      <c r="BH20" s="186">
        <f t="shared" si="8"/>
        <v>0</v>
      </c>
      <c r="BI20" s="187">
        <f t="shared" si="9"/>
        <v>200</v>
      </c>
      <c r="BJ20" s="187">
        <f t="shared" si="10"/>
        <v>0</v>
      </c>
      <c r="BK20" s="188">
        <f t="shared" si="11"/>
        <v>0</v>
      </c>
      <c r="BL20" s="187">
        <f t="shared" si="14"/>
        <v>200</v>
      </c>
      <c r="BM20" s="189">
        <f t="shared" si="12"/>
        <v>0</v>
      </c>
      <c r="BN20" s="190" t="str">
        <f t="shared" si="13"/>
        <v>Pemeliharaan Rutin</v>
      </c>
      <c r="BO20" s="191"/>
      <c r="BP20" s="192" t="str">
        <f t="shared" si="15"/>
        <v>S</v>
      </c>
      <c r="BR20" s="194" t="s">
        <v>46</v>
      </c>
      <c r="BS20" s="194"/>
      <c r="BT20" s="194" t="s">
        <v>55</v>
      </c>
      <c r="BU20" s="212"/>
      <c r="BV20" s="195" t="s">
        <v>119</v>
      </c>
      <c r="BW20" s="212"/>
      <c r="BX20" s="195">
        <v>3.5</v>
      </c>
      <c r="BY20" s="195">
        <v>1.5</v>
      </c>
      <c r="BZ20" s="195">
        <v>1.5</v>
      </c>
      <c r="CA20" s="195">
        <v>0.6</v>
      </c>
      <c r="CB20" s="195" t="s">
        <v>121</v>
      </c>
      <c r="CC20" s="195" t="s">
        <v>124</v>
      </c>
      <c r="CD20" s="195" t="s">
        <v>121</v>
      </c>
    </row>
    <row r="21" spans="2:82" s="193" customFormat="1" ht="26.25" customHeight="1" x14ac:dyDescent="0.2">
      <c r="B21" s="174">
        <f t="shared" si="16"/>
        <v>1800</v>
      </c>
      <c r="C21" s="174">
        <f t="shared" si="17"/>
        <v>2000</v>
      </c>
      <c r="D21" s="175">
        <f t="shared" si="0"/>
        <v>200</v>
      </c>
      <c r="E21" s="176">
        <v>2</v>
      </c>
      <c r="F21" s="176">
        <v>3</v>
      </c>
      <c r="G21" s="176">
        <v>2</v>
      </c>
      <c r="H21" s="176">
        <v>1</v>
      </c>
      <c r="I21" s="176">
        <v>3</v>
      </c>
      <c r="J21" s="176">
        <v>4</v>
      </c>
      <c r="K21" s="176">
        <v>4</v>
      </c>
      <c r="L21" s="176">
        <v>2</v>
      </c>
      <c r="M21" s="176">
        <v>2</v>
      </c>
      <c r="N21" s="176">
        <v>1</v>
      </c>
      <c r="O21" s="176">
        <v>2</v>
      </c>
      <c r="P21" s="176">
        <v>2</v>
      </c>
      <c r="Q21" s="176">
        <v>2</v>
      </c>
      <c r="R21" s="176">
        <v>2</v>
      </c>
      <c r="S21" s="176">
        <v>2</v>
      </c>
      <c r="T21" s="176">
        <v>2</v>
      </c>
      <c r="U21" s="176">
        <v>2</v>
      </c>
      <c r="V21" s="176">
        <v>2</v>
      </c>
      <c r="W21" s="176">
        <v>1</v>
      </c>
      <c r="X21" s="176">
        <v>1</v>
      </c>
      <c r="Y21" s="176">
        <v>1</v>
      </c>
      <c r="Z21" s="176">
        <v>1</v>
      </c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6"/>
      <c r="AW21" s="178"/>
      <c r="AX21" s="179"/>
      <c r="AY21" s="180"/>
      <c r="AZ21" s="181" t="str">
        <f t="shared" si="1"/>
        <v>OK</v>
      </c>
      <c r="BA21" s="182">
        <f t="shared" si="2"/>
        <v>40</v>
      </c>
      <c r="BB21" s="183">
        <f t="shared" si="3"/>
        <v>80</v>
      </c>
      <c r="BC21" s="184">
        <f t="shared" si="4"/>
        <v>80</v>
      </c>
      <c r="BD21" s="183">
        <f t="shared" si="5"/>
        <v>95</v>
      </c>
      <c r="BE21" s="183">
        <f t="shared" si="6"/>
        <v>0</v>
      </c>
      <c r="BF21" s="185">
        <f t="shared" si="7"/>
        <v>95</v>
      </c>
      <c r="BH21" s="186">
        <f t="shared" si="8"/>
        <v>0</v>
      </c>
      <c r="BI21" s="187">
        <f t="shared" si="9"/>
        <v>200</v>
      </c>
      <c r="BJ21" s="187">
        <f t="shared" si="10"/>
        <v>0</v>
      </c>
      <c r="BK21" s="188">
        <f t="shared" si="11"/>
        <v>0</v>
      </c>
      <c r="BL21" s="187">
        <f t="shared" si="14"/>
        <v>200</v>
      </c>
      <c r="BM21" s="189">
        <f t="shared" si="12"/>
        <v>0</v>
      </c>
      <c r="BN21" s="190" t="str">
        <f t="shared" si="13"/>
        <v>Pemeliharaan Rutin</v>
      </c>
      <c r="BO21" s="191"/>
      <c r="BP21" s="192" t="str">
        <f t="shared" si="15"/>
        <v>S</v>
      </c>
      <c r="BR21" s="194" t="s">
        <v>46</v>
      </c>
      <c r="BS21" s="194"/>
      <c r="BT21" s="194" t="s">
        <v>55</v>
      </c>
      <c r="BU21" s="212"/>
      <c r="BV21" s="195" t="s">
        <v>119</v>
      </c>
      <c r="BW21" s="212"/>
      <c r="BX21" s="195">
        <v>3.5</v>
      </c>
      <c r="BY21" s="195">
        <v>1.1000000000000001</v>
      </c>
      <c r="BZ21" s="195">
        <v>1.5</v>
      </c>
      <c r="CA21" s="195" t="s">
        <v>124</v>
      </c>
      <c r="CB21" s="195" t="s">
        <v>121</v>
      </c>
      <c r="CC21" s="195" t="s">
        <v>124</v>
      </c>
      <c r="CD21" s="195" t="s">
        <v>121</v>
      </c>
    </row>
    <row r="22" spans="2:82" s="193" customFormat="1" ht="26.25" customHeight="1" x14ac:dyDescent="0.2">
      <c r="B22" s="174">
        <f t="shared" si="16"/>
        <v>2000</v>
      </c>
      <c r="C22" s="174">
        <f t="shared" si="17"/>
        <v>2200</v>
      </c>
      <c r="D22" s="175">
        <f t="shared" si="0"/>
        <v>200</v>
      </c>
      <c r="E22" s="176">
        <v>2</v>
      </c>
      <c r="F22" s="176">
        <v>3</v>
      </c>
      <c r="G22" s="176">
        <v>2</v>
      </c>
      <c r="H22" s="176">
        <v>1</v>
      </c>
      <c r="I22" s="176">
        <v>3</v>
      </c>
      <c r="J22" s="176">
        <v>4</v>
      </c>
      <c r="K22" s="176">
        <v>4</v>
      </c>
      <c r="L22" s="176">
        <v>2</v>
      </c>
      <c r="M22" s="176">
        <v>2</v>
      </c>
      <c r="N22" s="176">
        <v>1</v>
      </c>
      <c r="O22" s="176">
        <v>2</v>
      </c>
      <c r="P22" s="176">
        <v>2</v>
      </c>
      <c r="Q22" s="176">
        <v>2</v>
      </c>
      <c r="R22" s="176">
        <v>2</v>
      </c>
      <c r="S22" s="176">
        <v>2</v>
      </c>
      <c r="T22" s="176">
        <v>2</v>
      </c>
      <c r="U22" s="176">
        <v>2</v>
      </c>
      <c r="V22" s="176">
        <v>2</v>
      </c>
      <c r="W22" s="176">
        <v>1</v>
      </c>
      <c r="X22" s="176">
        <v>1</v>
      </c>
      <c r="Y22" s="176">
        <v>1</v>
      </c>
      <c r="Z22" s="176">
        <v>1</v>
      </c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6"/>
      <c r="AW22" s="178"/>
      <c r="AX22" s="179"/>
      <c r="AY22" s="180"/>
      <c r="AZ22" s="181" t="str">
        <f t="shared" si="1"/>
        <v>OK</v>
      </c>
      <c r="BA22" s="182">
        <f t="shared" si="2"/>
        <v>40</v>
      </c>
      <c r="BB22" s="183">
        <f t="shared" si="3"/>
        <v>80</v>
      </c>
      <c r="BC22" s="184">
        <f t="shared" si="4"/>
        <v>80</v>
      </c>
      <c r="BD22" s="183">
        <f t="shared" si="5"/>
        <v>95</v>
      </c>
      <c r="BE22" s="183">
        <f t="shared" si="6"/>
        <v>0</v>
      </c>
      <c r="BF22" s="185">
        <f t="shared" si="7"/>
        <v>95</v>
      </c>
      <c r="BH22" s="186">
        <f t="shared" si="8"/>
        <v>0</v>
      </c>
      <c r="BI22" s="187">
        <f t="shared" si="9"/>
        <v>200</v>
      </c>
      <c r="BJ22" s="187">
        <f t="shared" si="10"/>
        <v>0</v>
      </c>
      <c r="BK22" s="188">
        <f t="shared" si="11"/>
        <v>0</v>
      </c>
      <c r="BL22" s="187">
        <f t="shared" si="14"/>
        <v>200</v>
      </c>
      <c r="BM22" s="189">
        <f t="shared" si="12"/>
        <v>0</v>
      </c>
      <c r="BN22" s="190" t="str">
        <f t="shared" si="13"/>
        <v>Pemeliharaan Rutin</v>
      </c>
      <c r="BO22" s="191"/>
      <c r="BP22" s="192" t="str">
        <f t="shared" si="15"/>
        <v>S</v>
      </c>
      <c r="BR22" s="194" t="s">
        <v>46</v>
      </c>
      <c r="BS22" s="194"/>
      <c r="BT22" s="194" t="s">
        <v>55</v>
      </c>
      <c r="BU22" s="212"/>
      <c r="BV22" s="195" t="s">
        <v>119</v>
      </c>
      <c r="BW22" s="212"/>
      <c r="BX22" s="195">
        <v>3.5</v>
      </c>
      <c r="BY22" s="195">
        <v>1.2</v>
      </c>
      <c r="BZ22" s="195">
        <v>1.5</v>
      </c>
      <c r="CA22" s="195" t="s">
        <v>124</v>
      </c>
      <c r="CB22" s="195" t="s">
        <v>121</v>
      </c>
      <c r="CC22" s="195" t="s">
        <v>124</v>
      </c>
      <c r="CD22" s="195" t="s">
        <v>121</v>
      </c>
    </row>
    <row r="23" spans="2:82" s="193" customFormat="1" ht="26.25" customHeight="1" x14ac:dyDescent="0.2">
      <c r="B23" s="174">
        <f t="shared" si="16"/>
        <v>2200</v>
      </c>
      <c r="C23" s="174">
        <f t="shared" si="17"/>
        <v>2400</v>
      </c>
      <c r="D23" s="175">
        <f t="shared" si="0"/>
        <v>200</v>
      </c>
      <c r="E23" s="176">
        <v>2</v>
      </c>
      <c r="F23" s="176">
        <v>3</v>
      </c>
      <c r="G23" s="176">
        <v>2</v>
      </c>
      <c r="H23" s="176">
        <v>1</v>
      </c>
      <c r="I23" s="176">
        <v>3</v>
      </c>
      <c r="J23" s="176">
        <v>4</v>
      </c>
      <c r="K23" s="176">
        <v>4</v>
      </c>
      <c r="L23" s="176">
        <v>2</v>
      </c>
      <c r="M23" s="176">
        <v>2</v>
      </c>
      <c r="N23" s="176">
        <v>1</v>
      </c>
      <c r="O23" s="176">
        <v>2</v>
      </c>
      <c r="P23" s="176">
        <v>2</v>
      </c>
      <c r="Q23" s="176">
        <v>2</v>
      </c>
      <c r="R23" s="176">
        <v>2</v>
      </c>
      <c r="S23" s="176">
        <v>2</v>
      </c>
      <c r="T23" s="176">
        <v>2</v>
      </c>
      <c r="U23" s="176">
        <v>2</v>
      </c>
      <c r="V23" s="176">
        <v>2</v>
      </c>
      <c r="W23" s="176">
        <v>1</v>
      </c>
      <c r="X23" s="176">
        <v>1</v>
      </c>
      <c r="Y23" s="176">
        <v>1</v>
      </c>
      <c r="Z23" s="176">
        <v>1</v>
      </c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6"/>
      <c r="AW23" s="178"/>
      <c r="AX23" s="179"/>
      <c r="AY23" s="180"/>
      <c r="AZ23" s="181" t="str">
        <f t="shared" si="1"/>
        <v>OK</v>
      </c>
      <c r="BA23" s="182">
        <f t="shared" si="2"/>
        <v>40</v>
      </c>
      <c r="BB23" s="183">
        <f t="shared" si="3"/>
        <v>80</v>
      </c>
      <c r="BC23" s="184">
        <f t="shared" si="4"/>
        <v>80</v>
      </c>
      <c r="BD23" s="183">
        <f t="shared" si="5"/>
        <v>95</v>
      </c>
      <c r="BE23" s="183">
        <f t="shared" si="6"/>
        <v>0</v>
      </c>
      <c r="BF23" s="185">
        <f t="shared" si="7"/>
        <v>95</v>
      </c>
      <c r="BH23" s="186">
        <f t="shared" si="8"/>
        <v>0</v>
      </c>
      <c r="BI23" s="187">
        <f t="shared" si="9"/>
        <v>200</v>
      </c>
      <c r="BJ23" s="187">
        <f t="shared" si="10"/>
        <v>0</v>
      </c>
      <c r="BK23" s="188">
        <f t="shared" si="11"/>
        <v>0</v>
      </c>
      <c r="BL23" s="187">
        <f t="shared" si="14"/>
        <v>200</v>
      </c>
      <c r="BM23" s="189">
        <f t="shared" si="12"/>
        <v>0</v>
      </c>
      <c r="BN23" s="190" t="str">
        <f t="shared" si="13"/>
        <v>Pemeliharaan Rutin</v>
      </c>
      <c r="BO23" s="191"/>
      <c r="BP23" s="192" t="str">
        <f t="shared" si="15"/>
        <v>S</v>
      </c>
      <c r="BR23" s="194" t="s">
        <v>46</v>
      </c>
      <c r="BS23" s="194"/>
      <c r="BT23" s="194" t="s">
        <v>55</v>
      </c>
      <c r="BU23" s="212"/>
      <c r="BV23" s="195" t="s">
        <v>119</v>
      </c>
      <c r="BW23" s="212"/>
      <c r="BX23" s="195">
        <v>3.5</v>
      </c>
      <c r="BY23" s="195">
        <v>1.2</v>
      </c>
      <c r="BZ23" s="195">
        <v>1.5</v>
      </c>
      <c r="CA23" s="195" t="s">
        <v>123</v>
      </c>
      <c r="CB23" s="195"/>
      <c r="CC23" s="195" t="s">
        <v>123</v>
      </c>
      <c r="CD23" s="195"/>
    </row>
    <row r="24" spans="2:82" s="193" customFormat="1" ht="26.25" customHeight="1" x14ac:dyDescent="0.2">
      <c r="B24" s="174">
        <f t="shared" si="16"/>
        <v>2400</v>
      </c>
      <c r="C24" s="174">
        <f t="shared" si="17"/>
        <v>2600</v>
      </c>
      <c r="D24" s="175">
        <f t="shared" si="0"/>
        <v>200</v>
      </c>
      <c r="E24" s="176">
        <v>2</v>
      </c>
      <c r="F24" s="176">
        <v>3</v>
      </c>
      <c r="G24" s="176">
        <v>2</v>
      </c>
      <c r="H24" s="176">
        <v>1</v>
      </c>
      <c r="I24" s="176">
        <v>3</v>
      </c>
      <c r="J24" s="176">
        <v>4</v>
      </c>
      <c r="K24" s="176">
        <v>4</v>
      </c>
      <c r="L24" s="176">
        <v>2</v>
      </c>
      <c r="M24" s="176">
        <v>2</v>
      </c>
      <c r="N24" s="176">
        <v>1</v>
      </c>
      <c r="O24" s="176">
        <v>2</v>
      </c>
      <c r="P24" s="176">
        <v>2</v>
      </c>
      <c r="Q24" s="176">
        <v>2</v>
      </c>
      <c r="R24" s="176">
        <v>2</v>
      </c>
      <c r="S24" s="176">
        <v>2</v>
      </c>
      <c r="T24" s="176">
        <v>2</v>
      </c>
      <c r="U24" s="176">
        <v>2</v>
      </c>
      <c r="V24" s="176">
        <v>2</v>
      </c>
      <c r="W24" s="176">
        <v>1</v>
      </c>
      <c r="X24" s="176">
        <v>1</v>
      </c>
      <c r="Y24" s="176">
        <v>1</v>
      </c>
      <c r="Z24" s="176">
        <v>1</v>
      </c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6"/>
      <c r="AW24" s="178"/>
      <c r="AX24" s="179"/>
      <c r="AY24" s="180"/>
      <c r="AZ24" s="181" t="str">
        <f t="shared" si="1"/>
        <v>OK</v>
      </c>
      <c r="BA24" s="182">
        <f t="shared" si="2"/>
        <v>40</v>
      </c>
      <c r="BB24" s="183">
        <f t="shared" si="3"/>
        <v>80</v>
      </c>
      <c r="BC24" s="184">
        <f t="shared" si="4"/>
        <v>80</v>
      </c>
      <c r="BD24" s="183">
        <f t="shared" si="5"/>
        <v>95</v>
      </c>
      <c r="BE24" s="183">
        <f t="shared" si="6"/>
        <v>0</v>
      </c>
      <c r="BF24" s="185">
        <f t="shared" si="7"/>
        <v>95</v>
      </c>
      <c r="BH24" s="186">
        <f t="shared" si="8"/>
        <v>0</v>
      </c>
      <c r="BI24" s="187">
        <f t="shared" si="9"/>
        <v>200</v>
      </c>
      <c r="BJ24" s="187">
        <f t="shared" si="10"/>
        <v>0</v>
      </c>
      <c r="BK24" s="188">
        <f t="shared" si="11"/>
        <v>0</v>
      </c>
      <c r="BL24" s="187">
        <f t="shared" si="14"/>
        <v>200</v>
      </c>
      <c r="BM24" s="189">
        <f t="shared" si="12"/>
        <v>0</v>
      </c>
      <c r="BN24" s="190" t="str">
        <f t="shared" si="13"/>
        <v>Pemeliharaan Rutin</v>
      </c>
      <c r="BO24" s="191"/>
      <c r="BP24" s="192" t="str">
        <f t="shared" si="15"/>
        <v>S</v>
      </c>
      <c r="BR24" s="194" t="s">
        <v>46</v>
      </c>
      <c r="BS24" s="194"/>
      <c r="BT24" s="194" t="s">
        <v>55</v>
      </c>
      <c r="BU24" s="212"/>
      <c r="BV24" s="195" t="s">
        <v>119</v>
      </c>
      <c r="BW24" s="212"/>
      <c r="BX24" s="195">
        <v>3.5</v>
      </c>
      <c r="BY24" s="195">
        <v>1.5</v>
      </c>
      <c r="BZ24" s="195">
        <v>2.5</v>
      </c>
      <c r="CA24" s="195" t="s">
        <v>123</v>
      </c>
      <c r="CB24" s="195" t="s">
        <v>121</v>
      </c>
      <c r="CC24" s="195" t="s">
        <v>123</v>
      </c>
      <c r="CD24" s="195" t="s">
        <v>121</v>
      </c>
    </row>
    <row r="25" spans="2:82" s="193" customFormat="1" ht="26.25" customHeight="1" x14ac:dyDescent="0.2">
      <c r="B25" s="174">
        <f t="shared" si="16"/>
        <v>2600</v>
      </c>
      <c r="C25" s="174">
        <f t="shared" si="17"/>
        <v>2800</v>
      </c>
      <c r="D25" s="175">
        <f t="shared" ref="D25:D40" si="18">C25-B25</f>
        <v>200</v>
      </c>
      <c r="E25" s="176">
        <v>2</v>
      </c>
      <c r="F25" s="176">
        <v>3</v>
      </c>
      <c r="G25" s="176">
        <v>2</v>
      </c>
      <c r="H25" s="176">
        <v>1</v>
      </c>
      <c r="I25" s="176">
        <v>3</v>
      </c>
      <c r="J25" s="176">
        <v>4</v>
      </c>
      <c r="K25" s="176">
        <v>4</v>
      </c>
      <c r="L25" s="176">
        <v>2</v>
      </c>
      <c r="M25" s="176">
        <v>2</v>
      </c>
      <c r="N25" s="176">
        <v>1</v>
      </c>
      <c r="O25" s="176">
        <v>2</v>
      </c>
      <c r="P25" s="176">
        <v>2</v>
      </c>
      <c r="Q25" s="176">
        <v>2</v>
      </c>
      <c r="R25" s="176">
        <v>2</v>
      </c>
      <c r="S25" s="176">
        <v>2</v>
      </c>
      <c r="T25" s="176">
        <v>2</v>
      </c>
      <c r="U25" s="176">
        <v>2</v>
      </c>
      <c r="V25" s="176">
        <v>2</v>
      </c>
      <c r="W25" s="176">
        <v>1</v>
      </c>
      <c r="X25" s="176">
        <v>1</v>
      </c>
      <c r="Y25" s="176">
        <v>1</v>
      </c>
      <c r="Z25" s="176">
        <v>1</v>
      </c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6"/>
      <c r="AW25" s="178"/>
      <c r="AX25" s="179"/>
      <c r="AY25" s="180"/>
      <c r="AZ25" s="181" t="str">
        <f t="shared" ref="AZ25:AZ28" si="19">IF(OR((SUM(AA25:AV25)+AY25)&gt;0,D25&lt;=0),"ERROR","OK")</f>
        <v>OK</v>
      </c>
      <c r="BA25" s="182">
        <f t="shared" ref="BA25:BA40" si="20">IF(AND(K25=1,AZ25="OK"),0,IF(AND(K25=2,AZ25="OK"),5,IF(AND(K25=3,AZ25="OK"),20,IF(AND(K25=4,AZ25="OK"),40,0))))</f>
        <v>40</v>
      </c>
      <c r="BB25" s="183">
        <f t="shared" ref="BB25:BB40" si="21">IF(AND(J25=4,AZ25="OK"),BA25*2,0)</f>
        <v>80</v>
      </c>
      <c r="BC25" s="184">
        <f t="shared" ref="BC25:BC40" si="22">IF(BB25=0,BA25,BB25)</f>
        <v>80</v>
      </c>
      <c r="BD25" s="183">
        <f t="shared" ref="BD25:BD40" si="23">IF(AND(L25=1,AZ25="OK"),0,IF(AND(L25=2,AZ25="OK"),BC25+15,IF(AND(L25=3,AZ25="OK"),BC25+75,IF(AND(L25=4,AZ25="OK"),BC25+225,0))))</f>
        <v>95</v>
      </c>
      <c r="BE25" s="183">
        <f t="shared" ref="BE25:BE40" si="24">IF(AND(N25=1,AZ25="OK"),0,IF(AND(N25=2,AZ25="OK"),BD25+(5*0.5),IF(AND(N25=3,AZ25="OK"),BD25+(5*2),IF(AND(N25=4,AZ25="OK"),BD25+(4*5),0))))</f>
        <v>0</v>
      </c>
      <c r="BF25" s="185">
        <f t="shared" ref="BF25:BF40" si="25">IF(BE25&gt;0,BE25,IF(BD25&gt;0,BD25,BB25))</f>
        <v>95</v>
      </c>
      <c r="BH25" s="186">
        <f t="shared" ref="BH25:BH40" si="26">IF(AND(AND(AX25&lt;=4,BF25&lt;=50 ),AZ25="OK"),D25,0)</f>
        <v>0</v>
      </c>
      <c r="BI25" s="187">
        <f t="shared" ref="BI25:BI40" si="27">IF(AND(AND(AX25&lt;=4,AND(BF25&gt;50,BF25&lt;=100)),AZ25="OK"),D25,IF(AND(AND(AND(AX25&gt;4,AX25&lt;=8),BF25&lt;=100),AZ25="OK"),D25,0))</f>
        <v>200</v>
      </c>
      <c r="BJ25" s="187">
        <f t="shared" ref="BJ25:BJ40" si="28">IF(AND(AND(AX25&lt;=8,AND(BF25&gt;100,BF25&lt;=150)),AZ25="OK"),D25,IF(AND(AND(AND(AX25&gt;8,AX25&lt;=12),BF25&lt;=150),AZ25="OK"),D25,0))</f>
        <v>0</v>
      </c>
      <c r="BK25" s="188">
        <f t="shared" ref="BK25:BK40" si="29">IF(AND(AND(AX25&gt;12,BF25&gt;=0),AZ25="OK"),D25,IF(AND(AND(AX25&lt;=12,BF25&gt;150),AZ25="OK"),D25,0))</f>
        <v>0</v>
      </c>
      <c r="BL25" s="187">
        <f t="shared" ref="BL25:BL40" si="30">BH25+BI25</f>
        <v>200</v>
      </c>
      <c r="BM25" s="189">
        <f t="shared" ref="BM25:BM40" si="31">BJ25+BK25</f>
        <v>0</v>
      </c>
      <c r="BN25" s="190" t="str">
        <f t="shared" ref="BN25:BN40" si="32">IF(AND((BH25+BI25)&gt;0,(BJ25+BK25)=0),"Pemeliharaan Rutin",IF(AND((BH25+BI25+BK25)=0,BJ25&gt;0),"Pemeliharaan Berkala", IF(AND((BH25+BI25+BJ25)=0,BK25&gt;0),"Peningkatan/Rekonstruksi","")))</f>
        <v>Pemeliharaan Rutin</v>
      </c>
      <c r="BO25" s="191"/>
      <c r="BP25" s="192" t="str">
        <f t="shared" si="15"/>
        <v>S</v>
      </c>
      <c r="BR25" s="194" t="s">
        <v>46</v>
      </c>
      <c r="BS25" s="194"/>
      <c r="BT25" s="194" t="s">
        <v>55</v>
      </c>
      <c r="BU25" s="212"/>
      <c r="BV25" s="195" t="s">
        <v>119</v>
      </c>
      <c r="BW25" s="212"/>
      <c r="BX25" s="195">
        <v>3.5</v>
      </c>
      <c r="BY25" s="195">
        <v>1</v>
      </c>
      <c r="BZ25" s="195">
        <v>1.5</v>
      </c>
      <c r="CA25" s="195" t="s">
        <v>123</v>
      </c>
      <c r="CB25" s="195" t="s">
        <v>121</v>
      </c>
      <c r="CC25" s="195" t="s">
        <v>122</v>
      </c>
      <c r="CD25" s="195" t="s">
        <v>121</v>
      </c>
    </row>
    <row r="26" spans="2:82" s="193" customFormat="1" ht="26.25" customHeight="1" x14ac:dyDescent="0.2">
      <c r="B26" s="174">
        <f t="shared" si="16"/>
        <v>2800</v>
      </c>
      <c r="C26" s="174">
        <f t="shared" si="17"/>
        <v>3000</v>
      </c>
      <c r="D26" s="175">
        <f t="shared" si="18"/>
        <v>200</v>
      </c>
      <c r="E26" s="176">
        <v>2</v>
      </c>
      <c r="F26" s="176">
        <v>3</v>
      </c>
      <c r="G26" s="176">
        <v>2</v>
      </c>
      <c r="H26" s="176">
        <v>1</v>
      </c>
      <c r="I26" s="176">
        <v>3</v>
      </c>
      <c r="J26" s="176">
        <v>4</v>
      </c>
      <c r="K26" s="176">
        <v>4</v>
      </c>
      <c r="L26" s="176">
        <v>2</v>
      </c>
      <c r="M26" s="176">
        <v>2</v>
      </c>
      <c r="N26" s="176">
        <v>1</v>
      </c>
      <c r="O26" s="176">
        <v>2</v>
      </c>
      <c r="P26" s="176">
        <v>2</v>
      </c>
      <c r="Q26" s="176">
        <v>2</v>
      </c>
      <c r="R26" s="176">
        <v>2</v>
      </c>
      <c r="S26" s="176">
        <v>2</v>
      </c>
      <c r="T26" s="176">
        <v>2</v>
      </c>
      <c r="U26" s="176">
        <v>2</v>
      </c>
      <c r="V26" s="176">
        <v>2</v>
      </c>
      <c r="W26" s="176">
        <v>1</v>
      </c>
      <c r="X26" s="176">
        <v>1</v>
      </c>
      <c r="Y26" s="176">
        <v>1</v>
      </c>
      <c r="Z26" s="176">
        <v>1</v>
      </c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6"/>
      <c r="AW26" s="178"/>
      <c r="AX26" s="179"/>
      <c r="AY26" s="180"/>
      <c r="AZ26" s="181" t="str">
        <f t="shared" si="19"/>
        <v>OK</v>
      </c>
      <c r="BA26" s="182">
        <f t="shared" si="20"/>
        <v>40</v>
      </c>
      <c r="BB26" s="183">
        <f t="shared" si="21"/>
        <v>80</v>
      </c>
      <c r="BC26" s="184">
        <f t="shared" si="22"/>
        <v>80</v>
      </c>
      <c r="BD26" s="183">
        <f t="shared" si="23"/>
        <v>95</v>
      </c>
      <c r="BE26" s="183">
        <f t="shared" si="24"/>
        <v>0</v>
      </c>
      <c r="BF26" s="185">
        <f t="shared" si="25"/>
        <v>95</v>
      </c>
      <c r="BH26" s="186">
        <f t="shared" si="26"/>
        <v>0</v>
      </c>
      <c r="BI26" s="187">
        <f t="shared" si="27"/>
        <v>200</v>
      </c>
      <c r="BJ26" s="187">
        <f t="shared" si="28"/>
        <v>0</v>
      </c>
      <c r="BK26" s="188">
        <f t="shared" si="29"/>
        <v>0</v>
      </c>
      <c r="BL26" s="187">
        <f t="shared" si="30"/>
        <v>200</v>
      </c>
      <c r="BM26" s="189">
        <f t="shared" si="31"/>
        <v>0</v>
      </c>
      <c r="BN26" s="190" t="str">
        <f t="shared" si="32"/>
        <v>Pemeliharaan Rutin</v>
      </c>
      <c r="BO26" s="191"/>
      <c r="BP26" s="192" t="str">
        <f t="shared" si="15"/>
        <v>S</v>
      </c>
      <c r="BR26" s="194" t="s">
        <v>46</v>
      </c>
      <c r="BS26" s="194"/>
      <c r="BT26" s="194" t="s">
        <v>55</v>
      </c>
      <c r="BU26" s="212"/>
      <c r="BV26" s="195" t="s">
        <v>119</v>
      </c>
      <c r="BW26" s="212"/>
      <c r="BX26" s="195">
        <v>3.5</v>
      </c>
      <c r="BY26" s="195">
        <v>1.5</v>
      </c>
      <c r="BZ26" s="195">
        <v>2.5</v>
      </c>
      <c r="CA26" s="195" t="s">
        <v>123</v>
      </c>
      <c r="CB26" s="195" t="s">
        <v>121</v>
      </c>
      <c r="CC26" s="195" t="s">
        <v>122</v>
      </c>
      <c r="CD26" s="195" t="s">
        <v>121</v>
      </c>
    </row>
    <row r="27" spans="2:82" s="193" customFormat="1" ht="26.25" customHeight="1" x14ac:dyDescent="0.2">
      <c r="B27" s="174">
        <f t="shared" si="16"/>
        <v>3000</v>
      </c>
      <c r="C27" s="174">
        <f t="shared" si="17"/>
        <v>3200</v>
      </c>
      <c r="D27" s="175">
        <f t="shared" si="18"/>
        <v>200</v>
      </c>
      <c r="E27" s="176">
        <v>2</v>
      </c>
      <c r="F27" s="176">
        <v>3</v>
      </c>
      <c r="G27" s="176">
        <v>2</v>
      </c>
      <c r="H27" s="176">
        <v>1</v>
      </c>
      <c r="I27" s="176">
        <v>3</v>
      </c>
      <c r="J27" s="176">
        <v>4</v>
      </c>
      <c r="K27" s="176">
        <v>4</v>
      </c>
      <c r="L27" s="176">
        <v>2</v>
      </c>
      <c r="M27" s="176">
        <v>2</v>
      </c>
      <c r="N27" s="176">
        <v>1</v>
      </c>
      <c r="O27" s="176">
        <v>2</v>
      </c>
      <c r="P27" s="176">
        <v>2</v>
      </c>
      <c r="Q27" s="176">
        <v>2</v>
      </c>
      <c r="R27" s="176">
        <v>2</v>
      </c>
      <c r="S27" s="176">
        <v>2</v>
      </c>
      <c r="T27" s="176">
        <v>2</v>
      </c>
      <c r="U27" s="176">
        <v>2</v>
      </c>
      <c r="V27" s="176">
        <v>2</v>
      </c>
      <c r="W27" s="176">
        <v>1</v>
      </c>
      <c r="X27" s="176">
        <v>1</v>
      </c>
      <c r="Y27" s="176">
        <v>1</v>
      </c>
      <c r="Z27" s="176">
        <v>1</v>
      </c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6"/>
      <c r="AW27" s="178"/>
      <c r="AX27" s="179"/>
      <c r="AY27" s="180"/>
      <c r="AZ27" s="181" t="str">
        <f t="shared" si="19"/>
        <v>OK</v>
      </c>
      <c r="BA27" s="182">
        <f t="shared" si="20"/>
        <v>40</v>
      </c>
      <c r="BB27" s="183">
        <f t="shared" si="21"/>
        <v>80</v>
      </c>
      <c r="BC27" s="184">
        <f t="shared" si="22"/>
        <v>80</v>
      </c>
      <c r="BD27" s="183">
        <f t="shared" si="23"/>
        <v>95</v>
      </c>
      <c r="BE27" s="183">
        <f t="shared" si="24"/>
        <v>0</v>
      </c>
      <c r="BF27" s="185">
        <f t="shared" si="25"/>
        <v>95</v>
      </c>
      <c r="BH27" s="186">
        <f t="shared" si="26"/>
        <v>0</v>
      </c>
      <c r="BI27" s="187">
        <f t="shared" si="27"/>
        <v>200</v>
      </c>
      <c r="BJ27" s="187">
        <f t="shared" si="28"/>
        <v>0</v>
      </c>
      <c r="BK27" s="188">
        <f t="shared" si="29"/>
        <v>0</v>
      </c>
      <c r="BL27" s="187">
        <f t="shared" si="30"/>
        <v>200</v>
      </c>
      <c r="BM27" s="189">
        <f t="shared" si="31"/>
        <v>0</v>
      </c>
      <c r="BN27" s="190" t="str">
        <f t="shared" si="32"/>
        <v>Pemeliharaan Rutin</v>
      </c>
      <c r="BO27" s="191"/>
      <c r="BP27" s="192" t="str">
        <f t="shared" si="15"/>
        <v>S</v>
      </c>
      <c r="BR27" s="194" t="s">
        <v>46</v>
      </c>
      <c r="BS27" s="194"/>
      <c r="BT27" s="194" t="s">
        <v>55</v>
      </c>
      <c r="BU27" s="212"/>
      <c r="BV27" s="195" t="s">
        <v>119</v>
      </c>
      <c r="BW27" s="212"/>
      <c r="BX27" s="195">
        <v>3.5</v>
      </c>
      <c r="BY27" s="195">
        <v>1.1000000000000001</v>
      </c>
      <c r="BZ27" s="195">
        <v>2</v>
      </c>
      <c r="CA27" s="195" t="s">
        <v>124</v>
      </c>
      <c r="CB27" s="195" t="s">
        <v>121</v>
      </c>
      <c r="CC27" s="195">
        <v>1.1000000000000001</v>
      </c>
      <c r="CD27" s="195" t="s">
        <v>121</v>
      </c>
    </row>
    <row r="28" spans="2:82" s="193" customFormat="1" ht="26.25" customHeight="1" x14ac:dyDescent="0.2">
      <c r="B28" s="174">
        <f t="shared" si="16"/>
        <v>3200</v>
      </c>
      <c r="C28" s="174">
        <f t="shared" si="17"/>
        <v>3400</v>
      </c>
      <c r="D28" s="175">
        <f t="shared" si="18"/>
        <v>200</v>
      </c>
      <c r="E28" s="176">
        <v>2</v>
      </c>
      <c r="F28" s="176">
        <v>3</v>
      </c>
      <c r="G28" s="176">
        <v>2</v>
      </c>
      <c r="H28" s="176">
        <v>1</v>
      </c>
      <c r="I28" s="176">
        <v>3</v>
      </c>
      <c r="J28" s="176">
        <v>4</v>
      </c>
      <c r="K28" s="176">
        <v>4</v>
      </c>
      <c r="L28" s="176">
        <v>2</v>
      </c>
      <c r="M28" s="176">
        <v>2</v>
      </c>
      <c r="N28" s="176">
        <v>1</v>
      </c>
      <c r="O28" s="176">
        <v>2</v>
      </c>
      <c r="P28" s="176">
        <v>2</v>
      </c>
      <c r="Q28" s="176">
        <v>2</v>
      </c>
      <c r="R28" s="176">
        <v>2</v>
      </c>
      <c r="S28" s="176">
        <v>2</v>
      </c>
      <c r="T28" s="176">
        <v>2</v>
      </c>
      <c r="U28" s="176">
        <v>2</v>
      </c>
      <c r="V28" s="176">
        <v>2</v>
      </c>
      <c r="W28" s="176">
        <v>1</v>
      </c>
      <c r="X28" s="176">
        <v>1</v>
      </c>
      <c r="Y28" s="176">
        <v>1</v>
      </c>
      <c r="Z28" s="176">
        <v>1</v>
      </c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6"/>
      <c r="AW28" s="178"/>
      <c r="AX28" s="179"/>
      <c r="AY28" s="180"/>
      <c r="AZ28" s="181" t="str">
        <f t="shared" si="19"/>
        <v>OK</v>
      </c>
      <c r="BA28" s="182">
        <f t="shared" si="20"/>
        <v>40</v>
      </c>
      <c r="BB28" s="183">
        <f t="shared" si="21"/>
        <v>80</v>
      </c>
      <c r="BC28" s="184">
        <f t="shared" si="22"/>
        <v>80</v>
      </c>
      <c r="BD28" s="183">
        <f t="shared" si="23"/>
        <v>95</v>
      </c>
      <c r="BE28" s="183">
        <f t="shared" si="24"/>
        <v>0</v>
      </c>
      <c r="BF28" s="185">
        <f t="shared" si="25"/>
        <v>95</v>
      </c>
      <c r="BH28" s="186">
        <f t="shared" si="26"/>
        <v>0</v>
      </c>
      <c r="BI28" s="187">
        <f t="shared" si="27"/>
        <v>200</v>
      </c>
      <c r="BJ28" s="187">
        <f t="shared" si="28"/>
        <v>0</v>
      </c>
      <c r="BK28" s="188">
        <f t="shared" si="29"/>
        <v>0</v>
      </c>
      <c r="BL28" s="187">
        <f t="shared" si="30"/>
        <v>200</v>
      </c>
      <c r="BM28" s="189">
        <f t="shared" si="31"/>
        <v>0</v>
      </c>
      <c r="BN28" s="190" t="str">
        <f t="shared" si="32"/>
        <v>Pemeliharaan Rutin</v>
      </c>
      <c r="BO28" s="191"/>
      <c r="BP28" s="192" t="str">
        <f t="shared" si="15"/>
        <v>S</v>
      </c>
      <c r="BR28" s="194" t="s">
        <v>46</v>
      </c>
      <c r="BS28" s="194"/>
      <c r="BT28" s="194" t="s">
        <v>55</v>
      </c>
      <c r="BU28" s="212"/>
      <c r="BV28" s="195" t="s">
        <v>119</v>
      </c>
      <c r="BW28" s="212"/>
      <c r="BX28" s="195">
        <v>3.5</v>
      </c>
      <c r="BY28" s="195">
        <v>1.5</v>
      </c>
      <c r="BZ28" s="195">
        <v>2</v>
      </c>
      <c r="CA28" s="195" t="s">
        <v>123</v>
      </c>
      <c r="CB28" s="195" t="s">
        <v>121</v>
      </c>
      <c r="CC28" s="195" t="s">
        <v>123</v>
      </c>
      <c r="CD28" s="195" t="s">
        <v>121</v>
      </c>
    </row>
    <row r="29" spans="2:82" s="193" customFormat="1" ht="26.25" customHeight="1" x14ac:dyDescent="0.2">
      <c r="B29" s="174">
        <f>C28</f>
        <v>3400</v>
      </c>
      <c r="C29" s="174">
        <f>B29+200</f>
        <v>3600</v>
      </c>
      <c r="D29" s="175">
        <f t="shared" si="18"/>
        <v>200</v>
      </c>
      <c r="E29" s="176">
        <v>2</v>
      </c>
      <c r="F29" s="176">
        <v>3</v>
      </c>
      <c r="G29" s="176">
        <v>2</v>
      </c>
      <c r="H29" s="176">
        <v>1</v>
      </c>
      <c r="I29" s="176">
        <v>3</v>
      </c>
      <c r="J29" s="176">
        <v>4</v>
      </c>
      <c r="K29" s="176">
        <v>4</v>
      </c>
      <c r="L29" s="176">
        <v>2</v>
      </c>
      <c r="M29" s="176">
        <v>2</v>
      </c>
      <c r="N29" s="176">
        <v>1</v>
      </c>
      <c r="O29" s="176">
        <v>2</v>
      </c>
      <c r="P29" s="176">
        <v>2</v>
      </c>
      <c r="Q29" s="176">
        <v>2</v>
      </c>
      <c r="R29" s="176">
        <v>2</v>
      </c>
      <c r="S29" s="176">
        <v>2</v>
      </c>
      <c r="T29" s="176">
        <v>2</v>
      </c>
      <c r="U29" s="176">
        <v>2</v>
      </c>
      <c r="V29" s="176">
        <v>2</v>
      </c>
      <c r="W29" s="176">
        <v>1</v>
      </c>
      <c r="X29" s="176">
        <v>1</v>
      </c>
      <c r="Y29" s="176">
        <v>1</v>
      </c>
      <c r="Z29" s="176">
        <v>1</v>
      </c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6"/>
      <c r="AW29" s="178"/>
      <c r="AX29" s="179"/>
      <c r="AY29" s="180"/>
      <c r="AZ29" s="181" t="str">
        <f t="shared" ref="AZ29:AZ40" si="33">IF(OR((SUM(AA29:AV29)+AY29)&gt;0,D29&lt;=0),"ERROR","OK")</f>
        <v>OK</v>
      </c>
      <c r="BA29" s="182">
        <f t="shared" si="20"/>
        <v>40</v>
      </c>
      <c r="BB29" s="183">
        <f t="shared" si="21"/>
        <v>80</v>
      </c>
      <c r="BC29" s="184">
        <f t="shared" si="22"/>
        <v>80</v>
      </c>
      <c r="BD29" s="183">
        <f t="shared" si="23"/>
        <v>95</v>
      </c>
      <c r="BE29" s="183">
        <f t="shared" si="24"/>
        <v>0</v>
      </c>
      <c r="BF29" s="185">
        <f t="shared" si="25"/>
        <v>95</v>
      </c>
      <c r="BH29" s="186">
        <f t="shared" si="26"/>
        <v>0</v>
      </c>
      <c r="BI29" s="187">
        <f t="shared" si="27"/>
        <v>200</v>
      </c>
      <c r="BJ29" s="187">
        <f t="shared" si="28"/>
        <v>0</v>
      </c>
      <c r="BK29" s="188">
        <f t="shared" si="29"/>
        <v>0</v>
      </c>
      <c r="BL29" s="187">
        <f t="shared" si="30"/>
        <v>200</v>
      </c>
      <c r="BM29" s="189">
        <f t="shared" si="31"/>
        <v>0</v>
      </c>
      <c r="BN29" s="190" t="str">
        <f t="shared" si="32"/>
        <v>Pemeliharaan Rutin</v>
      </c>
      <c r="BO29" s="191"/>
      <c r="BP29" s="192" t="str">
        <f t="shared" si="15"/>
        <v>S</v>
      </c>
      <c r="BR29" s="194" t="s">
        <v>46</v>
      </c>
      <c r="BS29" s="194"/>
      <c r="BT29" s="194" t="s">
        <v>55</v>
      </c>
      <c r="BU29" s="212"/>
      <c r="BV29" s="195" t="s">
        <v>119</v>
      </c>
      <c r="BW29" s="212"/>
      <c r="BX29" s="195">
        <v>3.5</v>
      </c>
      <c r="BY29" s="195"/>
      <c r="BZ29" s="195">
        <v>1</v>
      </c>
      <c r="CA29" s="195" t="s">
        <v>122</v>
      </c>
      <c r="CB29" s="195" t="s">
        <v>121</v>
      </c>
      <c r="CC29" s="195" t="s">
        <v>122</v>
      </c>
      <c r="CD29" s="195"/>
    </row>
    <row r="30" spans="2:82" s="193" customFormat="1" ht="26.25" customHeight="1" x14ac:dyDescent="0.2">
      <c r="B30" s="174">
        <f t="shared" ref="B30:B44" si="34">C29</f>
        <v>3600</v>
      </c>
      <c r="C30" s="174">
        <f t="shared" ref="C30:C44" si="35">B30+200</f>
        <v>3800</v>
      </c>
      <c r="D30" s="175">
        <f t="shared" si="18"/>
        <v>200</v>
      </c>
      <c r="E30" s="176">
        <v>2</v>
      </c>
      <c r="F30" s="176">
        <v>3</v>
      </c>
      <c r="G30" s="176">
        <v>2</v>
      </c>
      <c r="H30" s="176">
        <v>1</v>
      </c>
      <c r="I30" s="176">
        <v>3</v>
      </c>
      <c r="J30" s="176">
        <v>4</v>
      </c>
      <c r="K30" s="176">
        <v>4</v>
      </c>
      <c r="L30" s="176">
        <v>2</v>
      </c>
      <c r="M30" s="176">
        <v>2</v>
      </c>
      <c r="N30" s="176">
        <v>1</v>
      </c>
      <c r="O30" s="176">
        <v>2</v>
      </c>
      <c r="P30" s="176">
        <v>2</v>
      </c>
      <c r="Q30" s="176">
        <v>2</v>
      </c>
      <c r="R30" s="176">
        <v>2</v>
      </c>
      <c r="S30" s="176">
        <v>2</v>
      </c>
      <c r="T30" s="176">
        <v>2</v>
      </c>
      <c r="U30" s="176">
        <v>2</v>
      </c>
      <c r="V30" s="176">
        <v>2</v>
      </c>
      <c r="W30" s="176">
        <v>1</v>
      </c>
      <c r="X30" s="176">
        <v>1</v>
      </c>
      <c r="Y30" s="176">
        <v>2</v>
      </c>
      <c r="Z30" s="176">
        <v>2</v>
      </c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6"/>
      <c r="AW30" s="178"/>
      <c r="AX30" s="179"/>
      <c r="AY30" s="180"/>
      <c r="AZ30" s="181" t="str">
        <f t="shared" si="33"/>
        <v>OK</v>
      </c>
      <c r="BA30" s="182">
        <f t="shared" si="20"/>
        <v>40</v>
      </c>
      <c r="BB30" s="183">
        <f t="shared" si="21"/>
        <v>80</v>
      </c>
      <c r="BC30" s="184">
        <f t="shared" si="22"/>
        <v>80</v>
      </c>
      <c r="BD30" s="183">
        <f t="shared" si="23"/>
        <v>95</v>
      </c>
      <c r="BE30" s="183">
        <f t="shared" si="24"/>
        <v>0</v>
      </c>
      <c r="BF30" s="185">
        <f t="shared" si="25"/>
        <v>95</v>
      </c>
      <c r="BH30" s="186">
        <f t="shared" si="26"/>
        <v>0</v>
      </c>
      <c r="BI30" s="187">
        <f t="shared" si="27"/>
        <v>200</v>
      </c>
      <c r="BJ30" s="187">
        <f t="shared" si="28"/>
        <v>0</v>
      </c>
      <c r="BK30" s="188">
        <f t="shared" si="29"/>
        <v>0</v>
      </c>
      <c r="BL30" s="187">
        <f t="shared" si="30"/>
        <v>200</v>
      </c>
      <c r="BM30" s="189">
        <f t="shared" si="31"/>
        <v>0</v>
      </c>
      <c r="BN30" s="190" t="str">
        <f t="shared" si="32"/>
        <v>Pemeliharaan Rutin</v>
      </c>
      <c r="BO30" s="191"/>
      <c r="BP30" s="192" t="str">
        <f t="shared" si="15"/>
        <v>S</v>
      </c>
      <c r="BR30" s="194" t="s">
        <v>46</v>
      </c>
      <c r="BS30" s="194"/>
      <c r="BT30" s="194" t="s">
        <v>55</v>
      </c>
      <c r="BU30" s="212"/>
      <c r="BV30" s="195" t="s">
        <v>119</v>
      </c>
      <c r="BW30" s="212"/>
      <c r="BX30" s="195">
        <v>3.5</v>
      </c>
      <c r="BY30" s="195"/>
      <c r="BZ30" s="195"/>
      <c r="CA30" s="195" t="s">
        <v>122</v>
      </c>
      <c r="CB30" s="195"/>
      <c r="CC30" s="195" t="s">
        <v>122</v>
      </c>
      <c r="CD30" s="195"/>
    </row>
    <row r="31" spans="2:82" s="193" customFormat="1" ht="26.25" customHeight="1" x14ac:dyDescent="0.2">
      <c r="B31" s="174">
        <f t="shared" si="34"/>
        <v>3800</v>
      </c>
      <c r="C31" s="174">
        <f t="shared" si="35"/>
        <v>4000</v>
      </c>
      <c r="D31" s="175">
        <f t="shared" si="18"/>
        <v>200</v>
      </c>
      <c r="E31" s="176">
        <v>2</v>
      </c>
      <c r="F31" s="176">
        <v>3</v>
      </c>
      <c r="G31" s="176">
        <v>2</v>
      </c>
      <c r="H31" s="176">
        <v>1</v>
      </c>
      <c r="I31" s="176">
        <v>3</v>
      </c>
      <c r="J31" s="176">
        <v>4</v>
      </c>
      <c r="K31" s="176">
        <v>4</v>
      </c>
      <c r="L31" s="176">
        <v>2</v>
      </c>
      <c r="M31" s="176">
        <v>2</v>
      </c>
      <c r="N31" s="176">
        <v>1</v>
      </c>
      <c r="O31" s="176">
        <v>2</v>
      </c>
      <c r="P31" s="176">
        <v>2</v>
      </c>
      <c r="Q31" s="176">
        <v>2</v>
      </c>
      <c r="R31" s="176">
        <v>2</v>
      </c>
      <c r="S31" s="176">
        <v>2</v>
      </c>
      <c r="T31" s="176">
        <v>2</v>
      </c>
      <c r="U31" s="176">
        <v>2</v>
      </c>
      <c r="V31" s="176">
        <v>2</v>
      </c>
      <c r="W31" s="176">
        <v>1</v>
      </c>
      <c r="X31" s="176">
        <v>1</v>
      </c>
      <c r="Y31" s="176">
        <v>2</v>
      </c>
      <c r="Z31" s="176">
        <v>2</v>
      </c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6"/>
      <c r="AW31" s="178"/>
      <c r="AX31" s="179"/>
      <c r="AY31" s="180"/>
      <c r="AZ31" s="181" t="str">
        <f t="shared" si="33"/>
        <v>OK</v>
      </c>
      <c r="BA31" s="182">
        <f t="shared" si="20"/>
        <v>40</v>
      </c>
      <c r="BB31" s="183">
        <f t="shared" si="21"/>
        <v>80</v>
      </c>
      <c r="BC31" s="184">
        <f t="shared" si="22"/>
        <v>80</v>
      </c>
      <c r="BD31" s="183">
        <f t="shared" si="23"/>
        <v>95</v>
      </c>
      <c r="BE31" s="183">
        <f t="shared" si="24"/>
        <v>0</v>
      </c>
      <c r="BF31" s="185">
        <f t="shared" si="25"/>
        <v>95</v>
      </c>
      <c r="BH31" s="186">
        <f t="shared" si="26"/>
        <v>0</v>
      </c>
      <c r="BI31" s="187">
        <f t="shared" si="27"/>
        <v>200</v>
      </c>
      <c r="BJ31" s="187">
        <f t="shared" si="28"/>
        <v>0</v>
      </c>
      <c r="BK31" s="188">
        <f t="shared" si="29"/>
        <v>0</v>
      </c>
      <c r="BL31" s="187">
        <f t="shared" si="30"/>
        <v>200</v>
      </c>
      <c r="BM31" s="189">
        <f t="shared" si="31"/>
        <v>0</v>
      </c>
      <c r="BN31" s="190" t="str">
        <f t="shared" si="32"/>
        <v>Pemeliharaan Rutin</v>
      </c>
      <c r="BO31" s="191"/>
      <c r="BP31" s="192" t="str">
        <f t="shared" si="15"/>
        <v>S</v>
      </c>
      <c r="BR31" s="194" t="s">
        <v>46</v>
      </c>
      <c r="BS31" s="194"/>
      <c r="BT31" s="194" t="s">
        <v>55</v>
      </c>
      <c r="BU31" s="212"/>
      <c r="BV31" s="195" t="s">
        <v>119</v>
      </c>
      <c r="BW31" s="212"/>
      <c r="BX31" s="195">
        <v>3.5</v>
      </c>
      <c r="BY31" s="195">
        <v>1.2</v>
      </c>
      <c r="BZ31" s="195">
        <v>1.1000000000000001</v>
      </c>
      <c r="CA31" s="195" t="s">
        <v>122</v>
      </c>
      <c r="CB31" s="195" t="s">
        <v>121</v>
      </c>
      <c r="CC31" s="195" t="s">
        <v>122</v>
      </c>
      <c r="CD31" s="195" t="s">
        <v>121</v>
      </c>
    </row>
    <row r="32" spans="2:82" s="193" customFormat="1" ht="26.25" customHeight="1" x14ac:dyDescent="0.2">
      <c r="B32" s="174">
        <f t="shared" si="34"/>
        <v>4000</v>
      </c>
      <c r="C32" s="174">
        <f t="shared" si="35"/>
        <v>4200</v>
      </c>
      <c r="D32" s="175">
        <f t="shared" si="18"/>
        <v>200</v>
      </c>
      <c r="E32" s="176">
        <v>2</v>
      </c>
      <c r="F32" s="176">
        <v>3</v>
      </c>
      <c r="G32" s="176">
        <v>2</v>
      </c>
      <c r="H32" s="176">
        <v>1</v>
      </c>
      <c r="I32" s="176">
        <v>3</v>
      </c>
      <c r="J32" s="176">
        <v>4</v>
      </c>
      <c r="K32" s="176">
        <v>4</v>
      </c>
      <c r="L32" s="176">
        <v>2</v>
      </c>
      <c r="M32" s="176">
        <v>2</v>
      </c>
      <c r="N32" s="176">
        <v>1</v>
      </c>
      <c r="O32" s="176">
        <v>2</v>
      </c>
      <c r="P32" s="176">
        <v>2</v>
      </c>
      <c r="Q32" s="176">
        <v>2</v>
      </c>
      <c r="R32" s="176">
        <v>2</v>
      </c>
      <c r="S32" s="176">
        <v>2</v>
      </c>
      <c r="T32" s="176">
        <v>2</v>
      </c>
      <c r="U32" s="176">
        <v>2</v>
      </c>
      <c r="V32" s="176">
        <v>2</v>
      </c>
      <c r="W32" s="176">
        <v>1</v>
      </c>
      <c r="X32" s="176">
        <v>1</v>
      </c>
      <c r="Y32" s="176">
        <v>2</v>
      </c>
      <c r="Z32" s="176">
        <v>2</v>
      </c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6"/>
      <c r="AW32" s="178"/>
      <c r="AX32" s="179"/>
      <c r="AY32" s="180"/>
      <c r="AZ32" s="181" t="str">
        <f t="shared" si="33"/>
        <v>OK</v>
      </c>
      <c r="BA32" s="182">
        <f t="shared" si="20"/>
        <v>40</v>
      </c>
      <c r="BB32" s="183">
        <f t="shared" si="21"/>
        <v>80</v>
      </c>
      <c r="BC32" s="184">
        <f t="shared" si="22"/>
        <v>80</v>
      </c>
      <c r="BD32" s="183">
        <f t="shared" si="23"/>
        <v>95</v>
      </c>
      <c r="BE32" s="183">
        <f t="shared" si="24"/>
        <v>0</v>
      </c>
      <c r="BF32" s="185">
        <f t="shared" si="25"/>
        <v>95</v>
      </c>
      <c r="BH32" s="186">
        <f t="shared" si="26"/>
        <v>0</v>
      </c>
      <c r="BI32" s="187">
        <f t="shared" si="27"/>
        <v>200</v>
      </c>
      <c r="BJ32" s="187">
        <f t="shared" si="28"/>
        <v>0</v>
      </c>
      <c r="BK32" s="188">
        <f t="shared" si="29"/>
        <v>0</v>
      </c>
      <c r="BL32" s="187">
        <f t="shared" si="30"/>
        <v>200</v>
      </c>
      <c r="BM32" s="189">
        <f t="shared" si="31"/>
        <v>0</v>
      </c>
      <c r="BN32" s="190" t="str">
        <f t="shared" si="32"/>
        <v>Pemeliharaan Rutin</v>
      </c>
      <c r="BO32" s="191"/>
      <c r="BP32" s="192" t="str">
        <f t="shared" si="15"/>
        <v>S</v>
      </c>
      <c r="BR32" s="194" t="s">
        <v>46</v>
      </c>
      <c r="BS32" s="194"/>
      <c r="BT32" s="194" t="s">
        <v>55</v>
      </c>
      <c r="BU32" s="212"/>
      <c r="BV32" s="195" t="s">
        <v>119</v>
      </c>
      <c r="BW32" s="212"/>
      <c r="BX32" s="195">
        <v>3.5</v>
      </c>
      <c r="BY32" s="195">
        <v>1.8</v>
      </c>
      <c r="BZ32" s="195">
        <v>2</v>
      </c>
      <c r="CA32" s="195" t="s">
        <v>123</v>
      </c>
      <c r="CB32" s="195" t="s">
        <v>121</v>
      </c>
      <c r="CC32" s="195" t="s">
        <v>123</v>
      </c>
      <c r="CD32" s="195" t="s">
        <v>121</v>
      </c>
    </row>
    <row r="33" spans="2:82" s="193" customFormat="1" ht="26.25" customHeight="1" x14ac:dyDescent="0.2">
      <c r="B33" s="174">
        <f t="shared" si="34"/>
        <v>4200</v>
      </c>
      <c r="C33" s="174">
        <f t="shared" si="35"/>
        <v>4400</v>
      </c>
      <c r="D33" s="175">
        <f t="shared" si="18"/>
        <v>200</v>
      </c>
      <c r="E33" s="176">
        <v>2</v>
      </c>
      <c r="F33" s="176">
        <v>3</v>
      </c>
      <c r="G33" s="176">
        <v>2</v>
      </c>
      <c r="H33" s="176">
        <v>1</v>
      </c>
      <c r="I33" s="176">
        <v>3</v>
      </c>
      <c r="J33" s="176">
        <v>4</v>
      </c>
      <c r="K33" s="176">
        <v>4</v>
      </c>
      <c r="L33" s="176">
        <v>2</v>
      </c>
      <c r="M33" s="176">
        <v>2</v>
      </c>
      <c r="N33" s="176">
        <v>1</v>
      </c>
      <c r="O33" s="176">
        <v>2</v>
      </c>
      <c r="P33" s="176">
        <v>2</v>
      </c>
      <c r="Q33" s="176">
        <v>2</v>
      </c>
      <c r="R33" s="176">
        <v>2</v>
      </c>
      <c r="S33" s="176">
        <v>2</v>
      </c>
      <c r="T33" s="176">
        <v>2</v>
      </c>
      <c r="U33" s="176">
        <v>2</v>
      </c>
      <c r="V33" s="176">
        <v>2</v>
      </c>
      <c r="W33" s="176">
        <v>1</v>
      </c>
      <c r="X33" s="176">
        <v>1</v>
      </c>
      <c r="Y33" s="176">
        <v>2</v>
      </c>
      <c r="Z33" s="176">
        <v>2</v>
      </c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6"/>
      <c r="AW33" s="178"/>
      <c r="AX33" s="179"/>
      <c r="AY33" s="180"/>
      <c r="AZ33" s="181" t="str">
        <f t="shared" si="33"/>
        <v>OK</v>
      </c>
      <c r="BA33" s="182">
        <f t="shared" si="20"/>
        <v>40</v>
      </c>
      <c r="BB33" s="183">
        <f t="shared" si="21"/>
        <v>80</v>
      </c>
      <c r="BC33" s="184">
        <f t="shared" si="22"/>
        <v>80</v>
      </c>
      <c r="BD33" s="183">
        <f t="shared" si="23"/>
        <v>95</v>
      </c>
      <c r="BE33" s="183">
        <f t="shared" si="24"/>
        <v>0</v>
      </c>
      <c r="BF33" s="185">
        <f t="shared" si="25"/>
        <v>95</v>
      </c>
      <c r="BH33" s="186">
        <f t="shared" si="26"/>
        <v>0</v>
      </c>
      <c r="BI33" s="187">
        <f t="shared" si="27"/>
        <v>200</v>
      </c>
      <c r="BJ33" s="187">
        <f t="shared" si="28"/>
        <v>0</v>
      </c>
      <c r="BK33" s="188">
        <f t="shared" si="29"/>
        <v>0</v>
      </c>
      <c r="BL33" s="187">
        <f t="shared" si="30"/>
        <v>200</v>
      </c>
      <c r="BM33" s="189">
        <f t="shared" si="31"/>
        <v>0</v>
      </c>
      <c r="BN33" s="190" t="str">
        <f t="shared" si="32"/>
        <v>Pemeliharaan Rutin</v>
      </c>
      <c r="BO33" s="191"/>
      <c r="BP33" s="192" t="str">
        <f t="shared" si="15"/>
        <v>S</v>
      </c>
      <c r="BR33" s="194" t="s">
        <v>46</v>
      </c>
      <c r="BS33" s="194"/>
      <c r="BT33" s="194" t="s">
        <v>55</v>
      </c>
      <c r="BU33" s="212"/>
      <c r="BV33" s="195" t="s">
        <v>119</v>
      </c>
      <c r="BW33" s="212"/>
      <c r="BX33" s="195">
        <v>3.5</v>
      </c>
      <c r="BY33" s="195">
        <v>1.2</v>
      </c>
      <c r="BZ33" s="195">
        <v>2.2000000000000002</v>
      </c>
      <c r="CA33" s="195" t="s">
        <v>123</v>
      </c>
      <c r="CB33" s="195"/>
      <c r="CC33" s="195" t="s">
        <v>123</v>
      </c>
      <c r="CD33" s="195" t="s">
        <v>121</v>
      </c>
    </row>
    <row r="34" spans="2:82" s="193" customFormat="1" ht="26.25" customHeight="1" x14ac:dyDescent="0.2">
      <c r="B34" s="174">
        <f t="shared" si="34"/>
        <v>4400</v>
      </c>
      <c r="C34" s="174">
        <f t="shared" si="35"/>
        <v>4600</v>
      </c>
      <c r="D34" s="175">
        <f t="shared" si="18"/>
        <v>200</v>
      </c>
      <c r="E34" s="176">
        <v>2</v>
      </c>
      <c r="F34" s="176">
        <v>3</v>
      </c>
      <c r="G34" s="176">
        <v>2</v>
      </c>
      <c r="H34" s="176">
        <v>1</v>
      </c>
      <c r="I34" s="176">
        <v>3</v>
      </c>
      <c r="J34" s="176">
        <v>4</v>
      </c>
      <c r="K34" s="176">
        <v>4</v>
      </c>
      <c r="L34" s="176">
        <v>2</v>
      </c>
      <c r="M34" s="176">
        <v>2</v>
      </c>
      <c r="N34" s="176">
        <v>1</v>
      </c>
      <c r="O34" s="176">
        <v>2</v>
      </c>
      <c r="P34" s="176">
        <v>2</v>
      </c>
      <c r="Q34" s="176">
        <v>2</v>
      </c>
      <c r="R34" s="176">
        <v>2</v>
      </c>
      <c r="S34" s="176">
        <v>2</v>
      </c>
      <c r="T34" s="176">
        <v>2</v>
      </c>
      <c r="U34" s="176">
        <v>2</v>
      </c>
      <c r="V34" s="176">
        <v>2</v>
      </c>
      <c r="W34" s="176">
        <v>1</v>
      </c>
      <c r="X34" s="176">
        <v>1</v>
      </c>
      <c r="Y34" s="176">
        <v>2</v>
      </c>
      <c r="Z34" s="176">
        <v>2</v>
      </c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6"/>
      <c r="AW34" s="178"/>
      <c r="AX34" s="179"/>
      <c r="AY34" s="180"/>
      <c r="AZ34" s="181" t="str">
        <f t="shared" si="33"/>
        <v>OK</v>
      </c>
      <c r="BA34" s="182">
        <f t="shared" si="20"/>
        <v>40</v>
      </c>
      <c r="BB34" s="183">
        <f t="shared" si="21"/>
        <v>80</v>
      </c>
      <c r="BC34" s="184">
        <f t="shared" si="22"/>
        <v>80</v>
      </c>
      <c r="BD34" s="183">
        <f t="shared" si="23"/>
        <v>95</v>
      </c>
      <c r="BE34" s="183">
        <f t="shared" si="24"/>
        <v>0</v>
      </c>
      <c r="BF34" s="185">
        <f t="shared" si="25"/>
        <v>95</v>
      </c>
      <c r="BH34" s="186">
        <f t="shared" si="26"/>
        <v>0</v>
      </c>
      <c r="BI34" s="187">
        <f t="shared" si="27"/>
        <v>200</v>
      </c>
      <c r="BJ34" s="187">
        <f t="shared" si="28"/>
        <v>0</v>
      </c>
      <c r="BK34" s="188">
        <f t="shared" si="29"/>
        <v>0</v>
      </c>
      <c r="BL34" s="187">
        <f t="shared" si="30"/>
        <v>200</v>
      </c>
      <c r="BM34" s="189">
        <f t="shared" si="31"/>
        <v>0</v>
      </c>
      <c r="BN34" s="190" t="str">
        <f t="shared" si="32"/>
        <v>Pemeliharaan Rutin</v>
      </c>
      <c r="BO34" s="191"/>
      <c r="BP34" s="192" t="str">
        <f t="shared" si="15"/>
        <v>S</v>
      </c>
      <c r="BR34" s="194" t="s">
        <v>46</v>
      </c>
      <c r="BS34" s="194"/>
      <c r="BT34" s="194" t="s">
        <v>55</v>
      </c>
      <c r="BU34" s="212"/>
      <c r="BV34" s="195" t="s">
        <v>119</v>
      </c>
      <c r="BW34" s="212"/>
      <c r="BX34" s="195">
        <v>3.5</v>
      </c>
      <c r="BY34" s="195">
        <v>1.5</v>
      </c>
      <c r="BZ34" s="195">
        <v>3</v>
      </c>
      <c r="CA34" s="195"/>
      <c r="CB34" s="195"/>
      <c r="CC34" s="195"/>
      <c r="CD34" s="195"/>
    </row>
    <row r="35" spans="2:82" s="193" customFormat="1" ht="26.25" customHeight="1" x14ac:dyDescent="0.2">
      <c r="B35" s="174">
        <f t="shared" si="34"/>
        <v>4600</v>
      </c>
      <c r="C35" s="174">
        <f t="shared" si="35"/>
        <v>4800</v>
      </c>
      <c r="D35" s="175">
        <f t="shared" si="18"/>
        <v>200</v>
      </c>
      <c r="E35" s="176">
        <v>2</v>
      </c>
      <c r="F35" s="176">
        <v>3</v>
      </c>
      <c r="G35" s="176">
        <v>2</v>
      </c>
      <c r="H35" s="176">
        <v>1</v>
      </c>
      <c r="I35" s="176">
        <v>3</v>
      </c>
      <c r="J35" s="176">
        <v>4</v>
      </c>
      <c r="K35" s="176">
        <v>4</v>
      </c>
      <c r="L35" s="176">
        <v>2</v>
      </c>
      <c r="M35" s="176">
        <v>2</v>
      </c>
      <c r="N35" s="176">
        <v>1</v>
      </c>
      <c r="O35" s="176">
        <v>2</v>
      </c>
      <c r="P35" s="176">
        <v>2</v>
      </c>
      <c r="Q35" s="176">
        <v>2</v>
      </c>
      <c r="R35" s="176">
        <v>2</v>
      </c>
      <c r="S35" s="176">
        <v>2</v>
      </c>
      <c r="T35" s="176">
        <v>2</v>
      </c>
      <c r="U35" s="176">
        <v>2</v>
      </c>
      <c r="V35" s="176">
        <v>2</v>
      </c>
      <c r="W35" s="176">
        <v>1</v>
      </c>
      <c r="X35" s="176">
        <v>1</v>
      </c>
      <c r="Y35" s="176">
        <v>2</v>
      </c>
      <c r="Z35" s="176">
        <v>2</v>
      </c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6"/>
      <c r="AW35" s="178"/>
      <c r="AX35" s="179"/>
      <c r="AY35" s="180"/>
      <c r="AZ35" s="181" t="str">
        <f t="shared" si="33"/>
        <v>OK</v>
      </c>
      <c r="BA35" s="182">
        <f t="shared" si="20"/>
        <v>40</v>
      </c>
      <c r="BB35" s="183">
        <f t="shared" si="21"/>
        <v>80</v>
      </c>
      <c r="BC35" s="184">
        <f t="shared" si="22"/>
        <v>80</v>
      </c>
      <c r="BD35" s="183">
        <f t="shared" si="23"/>
        <v>95</v>
      </c>
      <c r="BE35" s="183">
        <f t="shared" si="24"/>
        <v>0</v>
      </c>
      <c r="BF35" s="185">
        <f t="shared" si="25"/>
        <v>95</v>
      </c>
      <c r="BH35" s="186">
        <f t="shared" si="26"/>
        <v>0</v>
      </c>
      <c r="BI35" s="187">
        <f t="shared" si="27"/>
        <v>200</v>
      </c>
      <c r="BJ35" s="187">
        <f t="shared" si="28"/>
        <v>0</v>
      </c>
      <c r="BK35" s="188">
        <f t="shared" si="29"/>
        <v>0</v>
      </c>
      <c r="BL35" s="187">
        <f t="shared" si="30"/>
        <v>200</v>
      </c>
      <c r="BM35" s="189">
        <f t="shared" si="31"/>
        <v>0</v>
      </c>
      <c r="BN35" s="190" t="str">
        <f t="shared" si="32"/>
        <v>Pemeliharaan Rutin</v>
      </c>
      <c r="BO35" s="191"/>
      <c r="BP35" s="192" t="str">
        <f t="shared" si="15"/>
        <v>S</v>
      </c>
      <c r="BR35" s="194" t="s">
        <v>46</v>
      </c>
      <c r="BS35" s="194"/>
      <c r="BT35" s="194" t="s">
        <v>55</v>
      </c>
      <c r="BU35" s="212"/>
      <c r="BV35" s="195" t="s">
        <v>119</v>
      </c>
      <c r="BW35" s="212"/>
      <c r="BX35" s="195">
        <v>3.5</v>
      </c>
      <c r="BY35" s="195">
        <v>2.5</v>
      </c>
      <c r="BZ35" s="195">
        <v>1.2</v>
      </c>
      <c r="CA35" s="195" t="s">
        <v>124</v>
      </c>
      <c r="CB35" s="195" t="s">
        <v>121</v>
      </c>
      <c r="CC35" s="195" t="s">
        <v>124</v>
      </c>
      <c r="CD35" s="195" t="s">
        <v>121</v>
      </c>
    </row>
    <row r="36" spans="2:82" s="193" customFormat="1" ht="26.25" customHeight="1" x14ac:dyDescent="0.2">
      <c r="B36" s="174">
        <f t="shared" si="34"/>
        <v>4800</v>
      </c>
      <c r="C36" s="174">
        <f t="shared" si="35"/>
        <v>5000</v>
      </c>
      <c r="D36" s="175">
        <f t="shared" si="18"/>
        <v>200</v>
      </c>
      <c r="E36" s="176">
        <v>2</v>
      </c>
      <c r="F36" s="176">
        <v>3</v>
      </c>
      <c r="G36" s="176">
        <v>2</v>
      </c>
      <c r="H36" s="176">
        <v>1</v>
      </c>
      <c r="I36" s="176">
        <v>3</v>
      </c>
      <c r="J36" s="176">
        <v>4</v>
      </c>
      <c r="K36" s="176">
        <v>4</v>
      </c>
      <c r="L36" s="176">
        <v>2</v>
      </c>
      <c r="M36" s="176">
        <v>2</v>
      </c>
      <c r="N36" s="176">
        <v>1</v>
      </c>
      <c r="O36" s="176">
        <v>2</v>
      </c>
      <c r="P36" s="176">
        <v>2</v>
      </c>
      <c r="Q36" s="176">
        <v>2</v>
      </c>
      <c r="R36" s="176">
        <v>2</v>
      </c>
      <c r="S36" s="176">
        <v>2</v>
      </c>
      <c r="T36" s="176">
        <v>2</v>
      </c>
      <c r="U36" s="176">
        <v>2</v>
      </c>
      <c r="V36" s="176">
        <v>2</v>
      </c>
      <c r="W36" s="176">
        <v>1</v>
      </c>
      <c r="X36" s="176">
        <v>1</v>
      </c>
      <c r="Y36" s="176">
        <v>2</v>
      </c>
      <c r="Z36" s="176">
        <v>2</v>
      </c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6"/>
      <c r="AW36" s="178"/>
      <c r="AX36" s="179"/>
      <c r="AY36" s="180"/>
      <c r="AZ36" s="181" t="str">
        <f t="shared" si="33"/>
        <v>OK</v>
      </c>
      <c r="BA36" s="182">
        <f t="shared" si="20"/>
        <v>40</v>
      </c>
      <c r="BB36" s="183">
        <f t="shared" si="21"/>
        <v>80</v>
      </c>
      <c r="BC36" s="184">
        <f t="shared" si="22"/>
        <v>80</v>
      </c>
      <c r="BD36" s="183">
        <f t="shared" si="23"/>
        <v>95</v>
      </c>
      <c r="BE36" s="183">
        <f t="shared" si="24"/>
        <v>0</v>
      </c>
      <c r="BF36" s="185">
        <f t="shared" si="25"/>
        <v>95</v>
      </c>
      <c r="BH36" s="186">
        <f t="shared" si="26"/>
        <v>0</v>
      </c>
      <c r="BI36" s="187">
        <f t="shared" si="27"/>
        <v>200</v>
      </c>
      <c r="BJ36" s="187">
        <f t="shared" si="28"/>
        <v>0</v>
      </c>
      <c r="BK36" s="188">
        <f t="shared" si="29"/>
        <v>0</v>
      </c>
      <c r="BL36" s="187">
        <f t="shared" si="30"/>
        <v>200</v>
      </c>
      <c r="BM36" s="189">
        <f t="shared" si="31"/>
        <v>0</v>
      </c>
      <c r="BN36" s="190" t="str">
        <f t="shared" si="32"/>
        <v>Pemeliharaan Rutin</v>
      </c>
      <c r="BO36" s="191"/>
      <c r="BP36" s="192" t="str">
        <f t="shared" si="15"/>
        <v>S</v>
      </c>
      <c r="BR36" s="194" t="s">
        <v>46</v>
      </c>
      <c r="BS36" s="194"/>
      <c r="BT36" s="194" t="s">
        <v>55</v>
      </c>
      <c r="BU36" s="212"/>
      <c r="BV36" s="195" t="s">
        <v>119</v>
      </c>
      <c r="BW36" s="212"/>
      <c r="BX36" s="195">
        <v>3.5</v>
      </c>
      <c r="BY36" s="195">
        <v>1.5</v>
      </c>
      <c r="BZ36" s="195">
        <v>1.5</v>
      </c>
      <c r="CA36" s="195">
        <v>0.6</v>
      </c>
      <c r="CB36" s="195" t="s">
        <v>121</v>
      </c>
      <c r="CC36" s="195" t="s">
        <v>124</v>
      </c>
      <c r="CD36" s="195" t="s">
        <v>121</v>
      </c>
    </row>
    <row r="37" spans="2:82" s="193" customFormat="1" ht="26.25" customHeight="1" x14ac:dyDescent="0.2">
      <c r="B37" s="174">
        <f t="shared" si="34"/>
        <v>5000</v>
      </c>
      <c r="C37" s="174">
        <f t="shared" si="35"/>
        <v>5200</v>
      </c>
      <c r="D37" s="175">
        <f t="shared" si="18"/>
        <v>200</v>
      </c>
      <c r="E37" s="176">
        <v>2</v>
      </c>
      <c r="F37" s="176">
        <v>3</v>
      </c>
      <c r="G37" s="176">
        <v>2</v>
      </c>
      <c r="H37" s="176">
        <v>1</v>
      </c>
      <c r="I37" s="176">
        <v>3</v>
      </c>
      <c r="J37" s="176">
        <v>4</v>
      </c>
      <c r="K37" s="176">
        <v>4</v>
      </c>
      <c r="L37" s="176">
        <v>2</v>
      </c>
      <c r="M37" s="176">
        <v>2</v>
      </c>
      <c r="N37" s="176">
        <v>1</v>
      </c>
      <c r="O37" s="176">
        <v>2</v>
      </c>
      <c r="P37" s="176">
        <v>2</v>
      </c>
      <c r="Q37" s="176">
        <v>2</v>
      </c>
      <c r="R37" s="176">
        <v>2</v>
      </c>
      <c r="S37" s="176">
        <v>2</v>
      </c>
      <c r="T37" s="176">
        <v>2</v>
      </c>
      <c r="U37" s="176">
        <v>2</v>
      </c>
      <c r="V37" s="176">
        <v>2</v>
      </c>
      <c r="W37" s="176">
        <v>1</v>
      </c>
      <c r="X37" s="176">
        <v>1</v>
      </c>
      <c r="Y37" s="176">
        <v>2</v>
      </c>
      <c r="Z37" s="176">
        <v>2</v>
      </c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6"/>
      <c r="AW37" s="178"/>
      <c r="AX37" s="179"/>
      <c r="AY37" s="180"/>
      <c r="AZ37" s="181" t="str">
        <f t="shared" si="33"/>
        <v>OK</v>
      </c>
      <c r="BA37" s="182">
        <f t="shared" si="20"/>
        <v>40</v>
      </c>
      <c r="BB37" s="183">
        <f t="shared" si="21"/>
        <v>80</v>
      </c>
      <c r="BC37" s="184">
        <f t="shared" si="22"/>
        <v>80</v>
      </c>
      <c r="BD37" s="183">
        <f t="shared" si="23"/>
        <v>95</v>
      </c>
      <c r="BE37" s="183">
        <f t="shared" si="24"/>
        <v>0</v>
      </c>
      <c r="BF37" s="185">
        <f t="shared" si="25"/>
        <v>95</v>
      </c>
      <c r="BH37" s="186">
        <f t="shared" si="26"/>
        <v>0</v>
      </c>
      <c r="BI37" s="187">
        <f t="shared" si="27"/>
        <v>200</v>
      </c>
      <c r="BJ37" s="187">
        <f t="shared" si="28"/>
        <v>0</v>
      </c>
      <c r="BK37" s="188">
        <f t="shared" si="29"/>
        <v>0</v>
      </c>
      <c r="BL37" s="187">
        <f t="shared" si="30"/>
        <v>200</v>
      </c>
      <c r="BM37" s="189">
        <f t="shared" si="31"/>
        <v>0</v>
      </c>
      <c r="BN37" s="190" t="str">
        <f t="shared" si="32"/>
        <v>Pemeliharaan Rutin</v>
      </c>
      <c r="BO37" s="191"/>
      <c r="BP37" s="192" t="str">
        <f t="shared" si="15"/>
        <v>S</v>
      </c>
      <c r="BR37" s="194" t="s">
        <v>46</v>
      </c>
      <c r="BS37" s="194"/>
      <c r="BT37" s="194" t="s">
        <v>55</v>
      </c>
      <c r="BU37" s="212"/>
      <c r="BV37" s="195" t="s">
        <v>119</v>
      </c>
      <c r="BW37" s="212"/>
      <c r="BX37" s="195">
        <v>3.5</v>
      </c>
      <c r="BY37" s="195">
        <v>1.1000000000000001</v>
      </c>
      <c r="BZ37" s="195">
        <v>1.5</v>
      </c>
      <c r="CA37" s="195" t="s">
        <v>124</v>
      </c>
      <c r="CB37" s="195" t="s">
        <v>121</v>
      </c>
      <c r="CC37" s="195" t="s">
        <v>124</v>
      </c>
      <c r="CD37" s="195" t="s">
        <v>121</v>
      </c>
    </row>
    <row r="38" spans="2:82" s="193" customFormat="1" ht="26.25" customHeight="1" x14ac:dyDescent="0.2">
      <c r="B38" s="174">
        <f t="shared" si="34"/>
        <v>5200</v>
      </c>
      <c r="C38" s="174">
        <f t="shared" si="35"/>
        <v>5400</v>
      </c>
      <c r="D38" s="175">
        <f t="shared" si="18"/>
        <v>200</v>
      </c>
      <c r="E38" s="176">
        <v>2</v>
      </c>
      <c r="F38" s="176">
        <v>4</v>
      </c>
      <c r="G38" s="176">
        <v>2</v>
      </c>
      <c r="H38" s="176">
        <v>2</v>
      </c>
      <c r="I38" s="176">
        <v>4</v>
      </c>
      <c r="J38" s="176">
        <v>4</v>
      </c>
      <c r="K38" s="176">
        <v>4</v>
      </c>
      <c r="L38" s="176">
        <v>5</v>
      </c>
      <c r="M38" s="176">
        <v>4</v>
      </c>
      <c r="N38" s="176">
        <v>2</v>
      </c>
      <c r="O38" s="176">
        <v>3</v>
      </c>
      <c r="P38" s="176">
        <v>3</v>
      </c>
      <c r="Q38" s="176">
        <v>2</v>
      </c>
      <c r="R38" s="176">
        <v>2</v>
      </c>
      <c r="S38" s="176">
        <v>2</v>
      </c>
      <c r="T38" s="176">
        <v>2</v>
      </c>
      <c r="U38" s="176">
        <v>2</v>
      </c>
      <c r="V38" s="176">
        <v>2</v>
      </c>
      <c r="W38" s="176">
        <v>1</v>
      </c>
      <c r="X38" s="176">
        <v>1</v>
      </c>
      <c r="Y38" s="176">
        <v>1</v>
      </c>
      <c r="Z38" s="176">
        <v>1</v>
      </c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6"/>
      <c r="AW38" s="178"/>
      <c r="AX38" s="179"/>
      <c r="AY38" s="180"/>
      <c r="AZ38" s="181" t="str">
        <f t="shared" si="33"/>
        <v>OK</v>
      </c>
      <c r="BA38" s="182">
        <f t="shared" si="20"/>
        <v>40</v>
      </c>
      <c r="BB38" s="183">
        <f t="shared" si="21"/>
        <v>80</v>
      </c>
      <c r="BC38" s="184">
        <f t="shared" si="22"/>
        <v>80</v>
      </c>
      <c r="BD38" s="183">
        <f t="shared" si="23"/>
        <v>0</v>
      </c>
      <c r="BE38" s="183">
        <f t="shared" si="24"/>
        <v>2.5</v>
      </c>
      <c r="BF38" s="185">
        <f t="shared" si="25"/>
        <v>2.5</v>
      </c>
      <c r="BH38" s="186">
        <f t="shared" si="26"/>
        <v>200</v>
      </c>
      <c r="BI38" s="187">
        <f t="shared" si="27"/>
        <v>0</v>
      </c>
      <c r="BJ38" s="187">
        <f t="shared" si="28"/>
        <v>0</v>
      </c>
      <c r="BK38" s="188">
        <f t="shared" si="29"/>
        <v>0</v>
      </c>
      <c r="BL38" s="187">
        <f t="shared" si="30"/>
        <v>200</v>
      </c>
      <c r="BM38" s="189">
        <f t="shared" si="31"/>
        <v>0</v>
      </c>
      <c r="BN38" s="190" t="str">
        <f t="shared" si="32"/>
        <v>Pemeliharaan Rutin</v>
      </c>
      <c r="BO38" s="191"/>
      <c r="BP38" s="192" t="str">
        <f t="shared" si="15"/>
        <v>B</v>
      </c>
      <c r="BR38" s="194" t="s">
        <v>49</v>
      </c>
      <c r="BS38" s="194"/>
      <c r="BT38" s="194" t="s">
        <v>54</v>
      </c>
      <c r="BU38" s="212"/>
      <c r="BV38" s="195" t="s">
        <v>119</v>
      </c>
      <c r="BW38" s="212"/>
      <c r="BX38" s="195">
        <v>3.5</v>
      </c>
      <c r="BY38" s="195">
        <v>1.2</v>
      </c>
      <c r="BZ38" s="195">
        <v>1.5</v>
      </c>
      <c r="CA38" s="195" t="s">
        <v>124</v>
      </c>
      <c r="CB38" s="195" t="s">
        <v>121</v>
      </c>
      <c r="CC38" s="195" t="s">
        <v>124</v>
      </c>
      <c r="CD38" s="195" t="s">
        <v>121</v>
      </c>
    </row>
    <row r="39" spans="2:82" s="193" customFormat="1" ht="26.25" customHeight="1" x14ac:dyDescent="0.2">
      <c r="B39" s="174">
        <f t="shared" si="34"/>
        <v>5400</v>
      </c>
      <c r="C39" s="174">
        <f t="shared" si="35"/>
        <v>5600</v>
      </c>
      <c r="D39" s="175">
        <f t="shared" si="18"/>
        <v>200</v>
      </c>
      <c r="E39" s="176">
        <v>2</v>
      </c>
      <c r="F39" s="176">
        <v>4</v>
      </c>
      <c r="G39" s="176">
        <v>2</v>
      </c>
      <c r="H39" s="176">
        <v>2</v>
      </c>
      <c r="I39" s="176">
        <v>4</v>
      </c>
      <c r="J39" s="176">
        <v>4</v>
      </c>
      <c r="K39" s="176">
        <v>4</v>
      </c>
      <c r="L39" s="176">
        <v>5</v>
      </c>
      <c r="M39" s="176">
        <v>4</v>
      </c>
      <c r="N39" s="176">
        <v>2</v>
      </c>
      <c r="O39" s="176">
        <v>3</v>
      </c>
      <c r="P39" s="176">
        <v>3</v>
      </c>
      <c r="Q39" s="176">
        <v>2</v>
      </c>
      <c r="R39" s="176">
        <v>2</v>
      </c>
      <c r="S39" s="176">
        <v>2</v>
      </c>
      <c r="T39" s="176">
        <v>2</v>
      </c>
      <c r="U39" s="176">
        <v>2</v>
      </c>
      <c r="V39" s="176">
        <v>2</v>
      </c>
      <c r="W39" s="176">
        <v>1</v>
      </c>
      <c r="X39" s="176">
        <v>1</v>
      </c>
      <c r="Y39" s="176">
        <v>1</v>
      </c>
      <c r="Z39" s="176">
        <v>1</v>
      </c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6"/>
      <c r="AW39" s="178"/>
      <c r="AX39" s="179"/>
      <c r="AY39" s="180"/>
      <c r="AZ39" s="181" t="str">
        <f t="shared" si="33"/>
        <v>OK</v>
      </c>
      <c r="BA39" s="182">
        <f t="shared" si="20"/>
        <v>40</v>
      </c>
      <c r="BB39" s="183">
        <f t="shared" si="21"/>
        <v>80</v>
      </c>
      <c r="BC39" s="184">
        <f t="shared" si="22"/>
        <v>80</v>
      </c>
      <c r="BD39" s="183">
        <f t="shared" si="23"/>
        <v>0</v>
      </c>
      <c r="BE39" s="183">
        <f t="shared" si="24"/>
        <v>2.5</v>
      </c>
      <c r="BF39" s="185">
        <f t="shared" si="25"/>
        <v>2.5</v>
      </c>
      <c r="BH39" s="186">
        <f t="shared" si="26"/>
        <v>200</v>
      </c>
      <c r="BI39" s="187">
        <f t="shared" si="27"/>
        <v>0</v>
      </c>
      <c r="BJ39" s="187">
        <f t="shared" si="28"/>
        <v>0</v>
      </c>
      <c r="BK39" s="188">
        <f t="shared" si="29"/>
        <v>0</v>
      </c>
      <c r="BL39" s="187">
        <f t="shared" si="30"/>
        <v>200</v>
      </c>
      <c r="BM39" s="189">
        <f t="shared" si="31"/>
        <v>0</v>
      </c>
      <c r="BN39" s="190" t="str">
        <f t="shared" si="32"/>
        <v>Pemeliharaan Rutin</v>
      </c>
      <c r="BO39" s="191"/>
      <c r="BP39" s="192" t="str">
        <f t="shared" si="15"/>
        <v>B</v>
      </c>
      <c r="BR39" s="194" t="s">
        <v>49</v>
      </c>
      <c r="BS39" s="194"/>
      <c r="BT39" s="194" t="s">
        <v>54</v>
      </c>
      <c r="BU39" s="212"/>
      <c r="BV39" s="195" t="s">
        <v>119</v>
      </c>
      <c r="BW39" s="212"/>
      <c r="BX39" s="195">
        <v>3.5</v>
      </c>
      <c r="BY39" s="195">
        <v>1.2</v>
      </c>
      <c r="BZ39" s="195">
        <v>1.5</v>
      </c>
      <c r="CA39" s="195" t="s">
        <v>123</v>
      </c>
      <c r="CB39" s="195"/>
      <c r="CC39" s="195" t="s">
        <v>123</v>
      </c>
      <c r="CD39" s="195"/>
    </row>
    <row r="40" spans="2:82" s="193" customFormat="1" ht="26.25" customHeight="1" x14ac:dyDescent="0.2">
      <c r="B40" s="174">
        <f t="shared" si="34"/>
        <v>5600</v>
      </c>
      <c r="C40" s="174">
        <f t="shared" si="35"/>
        <v>5800</v>
      </c>
      <c r="D40" s="175">
        <f t="shared" si="18"/>
        <v>200</v>
      </c>
      <c r="E40" s="176">
        <v>2</v>
      </c>
      <c r="F40" s="176">
        <v>4</v>
      </c>
      <c r="G40" s="176">
        <v>2</v>
      </c>
      <c r="H40" s="176">
        <v>2</v>
      </c>
      <c r="I40" s="176">
        <v>4</v>
      </c>
      <c r="J40" s="176">
        <v>4</v>
      </c>
      <c r="K40" s="176">
        <v>4</v>
      </c>
      <c r="L40" s="176">
        <v>5</v>
      </c>
      <c r="M40" s="176">
        <v>4</v>
      </c>
      <c r="N40" s="176">
        <v>2</v>
      </c>
      <c r="O40" s="176">
        <v>3</v>
      </c>
      <c r="P40" s="176">
        <v>3</v>
      </c>
      <c r="Q40" s="176">
        <v>2</v>
      </c>
      <c r="R40" s="176">
        <v>2</v>
      </c>
      <c r="S40" s="176">
        <v>2</v>
      </c>
      <c r="T40" s="176">
        <v>2</v>
      </c>
      <c r="U40" s="176">
        <v>2</v>
      </c>
      <c r="V40" s="176">
        <v>2</v>
      </c>
      <c r="W40" s="176">
        <v>1</v>
      </c>
      <c r="X40" s="176">
        <v>1</v>
      </c>
      <c r="Y40" s="176">
        <v>1</v>
      </c>
      <c r="Z40" s="176">
        <v>1</v>
      </c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6"/>
      <c r="AW40" s="178"/>
      <c r="AX40" s="179"/>
      <c r="AY40" s="180"/>
      <c r="AZ40" s="181" t="str">
        <f t="shared" si="33"/>
        <v>OK</v>
      </c>
      <c r="BA40" s="182">
        <f t="shared" si="20"/>
        <v>40</v>
      </c>
      <c r="BB40" s="183">
        <f t="shared" si="21"/>
        <v>80</v>
      </c>
      <c r="BC40" s="184">
        <f t="shared" si="22"/>
        <v>80</v>
      </c>
      <c r="BD40" s="183">
        <f t="shared" si="23"/>
        <v>0</v>
      </c>
      <c r="BE40" s="183">
        <f t="shared" si="24"/>
        <v>2.5</v>
      </c>
      <c r="BF40" s="185">
        <f t="shared" si="25"/>
        <v>2.5</v>
      </c>
      <c r="BH40" s="186">
        <f t="shared" si="26"/>
        <v>200</v>
      </c>
      <c r="BI40" s="187">
        <f t="shared" si="27"/>
        <v>0</v>
      </c>
      <c r="BJ40" s="187">
        <f t="shared" si="28"/>
        <v>0</v>
      </c>
      <c r="BK40" s="188">
        <f t="shared" si="29"/>
        <v>0</v>
      </c>
      <c r="BL40" s="187">
        <f t="shared" si="30"/>
        <v>200</v>
      </c>
      <c r="BM40" s="189">
        <f t="shared" si="31"/>
        <v>0</v>
      </c>
      <c r="BN40" s="190" t="str">
        <f t="shared" si="32"/>
        <v>Pemeliharaan Rutin</v>
      </c>
      <c r="BO40" s="191"/>
      <c r="BP40" s="192" t="str">
        <f t="shared" si="15"/>
        <v>B</v>
      </c>
      <c r="BR40" s="194" t="s">
        <v>46</v>
      </c>
      <c r="BS40" s="194"/>
      <c r="BT40" s="194" t="s">
        <v>55</v>
      </c>
      <c r="BU40" s="212"/>
      <c r="BV40" s="195" t="s">
        <v>119</v>
      </c>
      <c r="BW40" s="212"/>
      <c r="BX40" s="195">
        <v>3.5</v>
      </c>
      <c r="BY40" s="195">
        <v>1.5</v>
      </c>
      <c r="BZ40" s="195">
        <v>2.5</v>
      </c>
      <c r="CA40" s="195" t="s">
        <v>123</v>
      </c>
      <c r="CB40" s="195" t="s">
        <v>121</v>
      </c>
      <c r="CC40" s="195" t="s">
        <v>123</v>
      </c>
      <c r="CD40" s="195" t="s">
        <v>121</v>
      </c>
    </row>
    <row r="41" spans="2:82" s="193" customFormat="1" ht="26.25" customHeight="1" x14ac:dyDescent="0.2">
      <c r="B41" s="174">
        <f t="shared" si="34"/>
        <v>5800</v>
      </c>
      <c r="C41" s="174">
        <f t="shared" si="35"/>
        <v>6000</v>
      </c>
      <c r="D41" s="175">
        <f t="shared" ref="D41:D46" si="36">C41-B41</f>
        <v>200</v>
      </c>
      <c r="E41" s="176">
        <v>2</v>
      </c>
      <c r="F41" s="176">
        <v>4</v>
      </c>
      <c r="G41" s="176">
        <v>2</v>
      </c>
      <c r="H41" s="176">
        <v>1</v>
      </c>
      <c r="I41" s="176">
        <v>4</v>
      </c>
      <c r="J41" s="176">
        <v>4</v>
      </c>
      <c r="K41" s="176">
        <v>4</v>
      </c>
      <c r="L41" s="176">
        <v>5</v>
      </c>
      <c r="M41" s="176">
        <v>4</v>
      </c>
      <c r="N41" s="176">
        <v>2</v>
      </c>
      <c r="O41" s="176">
        <v>3</v>
      </c>
      <c r="P41" s="176">
        <v>3</v>
      </c>
      <c r="Q41" s="176">
        <v>2</v>
      </c>
      <c r="R41" s="176">
        <v>2</v>
      </c>
      <c r="S41" s="176">
        <v>2</v>
      </c>
      <c r="T41" s="176">
        <v>2</v>
      </c>
      <c r="U41" s="176">
        <v>2</v>
      </c>
      <c r="V41" s="176">
        <v>2</v>
      </c>
      <c r="W41" s="176">
        <v>1</v>
      </c>
      <c r="X41" s="176">
        <v>1</v>
      </c>
      <c r="Y41" s="176">
        <v>1</v>
      </c>
      <c r="Z41" s="176">
        <v>1</v>
      </c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6"/>
      <c r="AW41" s="178"/>
      <c r="AX41" s="179"/>
      <c r="AY41" s="180"/>
      <c r="AZ41" s="181" t="str">
        <f t="shared" ref="AZ41:AZ44" si="37">IF(OR((SUM(AA41:AV41)+AY41)&gt;0,D41&lt;=0),"ERROR","OK")</f>
        <v>OK</v>
      </c>
      <c r="BA41" s="182">
        <f t="shared" ref="BA41:BA46" si="38">IF(AND(K41=1,AZ41="OK"),0,IF(AND(K41=2,AZ41="OK"),5,IF(AND(K41=3,AZ41="OK"),20,IF(AND(K41=4,AZ41="OK"),40,0))))</f>
        <v>40</v>
      </c>
      <c r="BB41" s="183">
        <f t="shared" ref="BB41:BB46" si="39">IF(AND(J41=4,AZ41="OK"),BA41*2,0)</f>
        <v>80</v>
      </c>
      <c r="BC41" s="184">
        <f t="shared" ref="BC41:BC46" si="40">IF(BB41=0,BA41,BB41)</f>
        <v>80</v>
      </c>
      <c r="BD41" s="183">
        <f t="shared" ref="BD41:BD46" si="41">IF(AND(L41=1,AZ41="OK"),0,IF(AND(L41=2,AZ41="OK"),BC41+15,IF(AND(L41=3,AZ41="OK"),BC41+75,IF(AND(L41=4,AZ41="OK"),BC41+225,0))))</f>
        <v>0</v>
      </c>
      <c r="BE41" s="183">
        <f t="shared" ref="BE41:BE46" si="42">IF(AND(N41=1,AZ41="OK"),0,IF(AND(N41=2,AZ41="OK"),BD41+(5*0.5),IF(AND(N41=3,AZ41="OK"),BD41+(5*2),IF(AND(N41=4,AZ41="OK"),BD41+(4*5),0))))</f>
        <v>2.5</v>
      </c>
      <c r="BF41" s="185">
        <f t="shared" ref="BF41:BF46" si="43">IF(BE41&gt;0,BE41,IF(BD41&gt;0,BD41,BB41))</f>
        <v>2.5</v>
      </c>
      <c r="BH41" s="186">
        <f t="shared" ref="BH41:BH46" si="44">IF(AND(AND(AX41&lt;=4,BF41&lt;=50 ),AZ41="OK"),D41,0)</f>
        <v>200</v>
      </c>
      <c r="BI41" s="187">
        <f t="shared" ref="BI41:BI46" si="45">IF(AND(AND(AX41&lt;=4,AND(BF41&gt;50,BF41&lt;=100)),AZ41="OK"),D41,IF(AND(AND(AND(AX41&gt;4,AX41&lt;=8),BF41&lt;=100),AZ41="OK"),D41,0))</f>
        <v>0</v>
      </c>
      <c r="BJ41" s="187">
        <f t="shared" ref="BJ41:BJ46" si="46">IF(AND(AND(AX41&lt;=8,AND(BF41&gt;100,BF41&lt;=150)),AZ41="OK"),D41,IF(AND(AND(AND(AX41&gt;8,AX41&lt;=12),BF41&lt;=150),AZ41="OK"),D41,0))</f>
        <v>0</v>
      </c>
      <c r="BK41" s="188">
        <f t="shared" ref="BK41:BK46" si="47">IF(AND(AND(AX41&gt;12,BF41&gt;=0),AZ41="OK"),D41,IF(AND(AND(AX41&lt;=12,BF41&gt;150),AZ41="OK"),D41,0))</f>
        <v>0</v>
      </c>
      <c r="BL41" s="187">
        <f t="shared" ref="BL41:BL46" si="48">BH41+BI41</f>
        <v>200</v>
      </c>
      <c r="BM41" s="189">
        <f t="shared" ref="BM41:BM46" si="49">BJ41+BK41</f>
        <v>0</v>
      </c>
      <c r="BN41" s="190" t="str">
        <f t="shared" ref="BN41:BN46" si="50">IF(AND((BH41+BI41)&gt;0,(BJ41+BK41)=0),"Pemeliharaan Rutin",IF(AND((BH41+BI41+BK41)=0,BJ41&gt;0),"Pemeliharaan Berkala", IF(AND((BH41+BI41+BJ41)=0,BK41&gt;0),"Peningkatan/Rekonstruksi","")))</f>
        <v>Pemeliharaan Rutin</v>
      </c>
      <c r="BO41" s="191"/>
      <c r="BP41" s="192" t="str">
        <f t="shared" si="15"/>
        <v>B</v>
      </c>
      <c r="BR41" s="194" t="s">
        <v>46</v>
      </c>
      <c r="BS41" s="194"/>
      <c r="BT41" s="194" t="s">
        <v>55</v>
      </c>
      <c r="BU41" s="212"/>
      <c r="BV41" s="195" t="s">
        <v>119</v>
      </c>
      <c r="BW41" s="212"/>
      <c r="BX41" s="195">
        <v>3.5</v>
      </c>
      <c r="BY41" s="195">
        <v>1</v>
      </c>
      <c r="BZ41" s="195">
        <v>1.5</v>
      </c>
      <c r="CA41" s="195" t="s">
        <v>123</v>
      </c>
      <c r="CB41" s="195" t="s">
        <v>121</v>
      </c>
      <c r="CC41" s="195" t="s">
        <v>122</v>
      </c>
      <c r="CD41" s="195" t="s">
        <v>121</v>
      </c>
    </row>
    <row r="42" spans="2:82" s="193" customFormat="1" ht="26.25" customHeight="1" x14ac:dyDescent="0.2">
      <c r="B42" s="174">
        <f t="shared" si="34"/>
        <v>6000</v>
      </c>
      <c r="C42" s="174">
        <f t="shared" si="35"/>
        <v>6200</v>
      </c>
      <c r="D42" s="175">
        <f t="shared" si="36"/>
        <v>200</v>
      </c>
      <c r="E42" s="176">
        <v>2</v>
      </c>
      <c r="F42" s="176">
        <v>3</v>
      </c>
      <c r="G42" s="176">
        <v>2</v>
      </c>
      <c r="H42" s="176">
        <v>1</v>
      </c>
      <c r="I42" s="176">
        <v>3</v>
      </c>
      <c r="J42" s="176">
        <v>3</v>
      </c>
      <c r="K42" s="176">
        <v>3</v>
      </c>
      <c r="L42" s="176">
        <v>3</v>
      </c>
      <c r="M42" s="176">
        <v>3</v>
      </c>
      <c r="N42" s="176">
        <v>2</v>
      </c>
      <c r="O42" s="176">
        <v>3</v>
      </c>
      <c r="P42" s="176">
        <v>3</v>
      </c>
      <c r="Q42" s="176">
        <v>2</v>
      </c>
      <c r="R42" s="176">
        <v>2</v>
      </c>
      <c r="S42" s="176">
        <v>2</v>
      </c>
      <c r="T42" s="176">
        <v>2</v>
      </c>
      <c r="U42" s="176">
        <v>2</v>
      </c>
      <c r="V42" s="176">
        <v>2</v>
      </c>
      <c r="W42" s="176">
        <v>1</v>
      </c>
      <c r="X42" s="176">
        <v>1</v>
      </c>
      <c r="Y42" s="176">
        <v>1</v>
      </c>
      <c r="Z42" s="176">
        <v>1</v>
      </c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6"/>
      <c r="AW42" s="178"/>
      <c r="AX42" s="179"/>
      <c r="AY42" s="180"/>
      <c r="AZ42" s="181" t="str">
        <f t="shared" si="37"/>
        <v>OK</v>
      </c>
      <c r="BA42" s="182">
        <f t="shared" si="38"/>
        <v>20</v>
      </c>
      <c r="BB42" s="183">
        <f t="shared" si="39"/>
        <v>0</v>
      </c>
      <c r="BC42" s="184">
        <f t="shared" si="40"/>
        <v>20</v>
      </c>
      <c r="BD42" s="183">
        <f t="shared" si="41"/>
        <v>95</v>
      </c>
      <c r="BE42" s="183">
        <f t="shared" si="42"/>
        <v>97.5</v>
      </c>
      <c r="BF42" s="185">
        <f t="shared" si="43"/>
        <v>97.5</v>
      </c>
      <c r="BH42" s="186">
        <f t="shared" si="44"/>
        <v>0</v>
      </c>
      <c r="BI42" s="187">
        <f t="shared" si="45"/>
        <v>200</v>
      </c>
      <c r="BJ42" s="187">
        <f t="shared" si="46"/>
        <v>0</v>
      </c>
      <c r="BK42" s="188">
        <f t="shared" si="47"/>
        <v>0</v>
      </c>
      <c r="BL42" s="187">
        <f t="shared" si="48"/>
        <v>200</v>
      </c>
      <c r="BM42" s="189">
        <f t="shared" si="49"/>
        <v>0</v>
      </c>
      <c r="BN42" s="190" t="str">
        <f t="shared" si="50"/>
        <v>Pemeliharaan Rutin</v>
      </c>
      <c r="BO42" s="191"/>
      <c r="BP42" s="192" t="str">
        <f t="shared" si="15"/>
        <v>S</v>
      </c>
      <c r="BR42" s="194" t="s">
        <v>47</v>
      </c>
      <c r="BS42" s="194"/>
      <c r="BT42" s="194" t="s">
        <v>56</v>
      </c>
      <c r="BU42" s="212"/>
      <c r="BV42" s="195" t="s">
        <v>119</v>
      </c>
      <c r="BW42" s="212"/>
      <c r="BX42" s="195">
        <v>3.5</v>
      </c>
      <c r="BY42" s="195">
        <v>1.5</v>
      </c>
      <c r="BZ42" s="195">
        <v>2.5</v>
      </c>
      <c r="CA42" s="195" t="s">
        <v>123</v>
      </c>
      <c r="CB42" s="195" t="s">
        <v>121</v>
      </c>
      <c r="CC42" s="195" t="s">
        <v>122</v>
      </c>
      <c r="CD42" s="195" t="s">
        <v>121</v>
      </c>
    </row>
    <row r="43" spans="2:82" s="193" customFormat="1" ht="26.25" customHeight="1" x14ac:dyDescent="0.2">
      <c r="B43" s="174">
        <f t="shared" si="34"/>
        <v>6200</v>
      </c>
      <c r="C43" s="174">
        <f t="shared" si="35"/>
        <v>6400</v>
      </c>
      <c r="D43" s="175">
        <f t="shared" si="36"/>
        <v>200</v>
      </c>
      <c r="E43" s="176">
        <v>2</v>
      </c>
      <c r="F43" s="176">
        <v>4</v>
      </c>
      <c r="G43" s="176">
        <v>2</v>
      </c>
      <c r="H43" s="176">
        <v>1</v>
      </c>
      <c r="I43" s="176">
        <v>4</v>
      </c>
      <c r="J43" s="176">
        <v>4</v>
      </c>
      <c r="K43" s="176">
        <v>4</v>
      </c>
      <c r="L43" s="176">
        <v>5</v>
      </c>
      <c r="M43" s="176">
        <v>4</v>
      </c>
      <c r="N43" s="176">
        <v>2</v>
      </c>
      <c r="O43" s="176">
        <v>3</v>
      </c>
      <c r="P43" s="176">
        <v>3</v>
      </c>
      <c r="Q43" s="176">
        <v>2</v>
      </c>
      <c r="R43" s="176">
        <v>2</v>
      </c>
      <c r="S43" s="176">
        <v>2</v>
      </c>
      <c r="T43" s="176">
        <v>2</v>
      </c>
      <c r="U43" s="176">
        <v>2</v>
      </c>
      <c r="V43" s="176">
        <v>2</v>
      </c>
      <c r="W43" s="176">
        <v>1</v>
      </c>
      <c r="X43" s="176">
        <v>1</v>
      </c>
      <c r="Y43" s="176">
        <v>1</v>
      </c>
      <c r="Z43" s="176">
        <v>1</v>
      </c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6"/>
      <c r="AW43" s="178"/>
      <c r="AX43" s="179"/>
      <c r="AY43" s="180"/>
      <c r="AZ43" s="181" t="str">
        <f t="shared" si="37"/>
        <v>OK</v>
      </c>
      <c r="BA43" s="182">
        <f t="shared" si="38"/>
        <v>40</v>
      </c>
      <c r="BB43" s="183">
        <f t="shared" si="39"/>
        <v>80</v>
      </c>
      <c r="BC43" s="184">
        <f t="shared" si="40"/>
        <v>80</v>
      </c>
      <c r="BD43" s="183">
        <f t="shared" si="41"/>
        <v>0</v>
      </c>
      <c r="BE43" s="183">
        <f t="shared" si="42"/>
        <v>2.5</v>
      </c>
      <c r="BF43" s="185">
        <f t="shared" si="43"/>
        <v>2.5</v>
      </c>
      <c r="BH43" s="186">
        <f t="shared" si="44"/>
        <v>200</v>
      </c>
      <c r="BI43" s="187">
        <f t="shared" si="45"/>
        <v>0</v>
      </c>
      <c r="BJ43" s="187">
        <f t="shared" si="46"/>
        <v>0</v>
      </c>
      <c r="BK43" s="188">
        <f t="shared" si="47"/>
        <v>0</v>
      </c>
      <c r="BL43" s="187">
        <f t="shared" si="48"/>
        <v>200</v>
      </c>
      <c r="BM43" s="189">
        <f t="shared" si="49"/>
        <v>0</v>
      </c>
      <c r="BN43" s="190" t="str">
        <f t="shared" si="50"/>
        <v>Pemeliharaan Rutin</v>
      </c>
      <c r="BO43" s="191"/>
      <c r="BP43" s="192" t="str">
        <f t="shared" si="15"/>
        <v>B</v>
      </c>
      <c r="BR43" s="194" t="s">
        <v>46</v>
      </c>
      <c r="BS43" s="194"/>
      <c r="BT43" s="194" t="s">
        <v>55</v>
      </c>
      <c r="BU43" s="212"/>
      <c r="BV43" s="195" t="s">
        <v>119</v>
      </c>
      <c r="BW43" s="212"/>
      <c r="BX43" s="195">
        <v>3.5</v>
      </c>
      <c r="BY43" s="195">
        <v>1.1000000000000001</v>
      </c>
      <c r="BZ43" s="195">
        <v>2</v>
      </c>
      <c r="CA43" s="195" t="s">
        <v>124</v>
      </c>
      <c r="CB43" s="195" t="s">
        <v>121</v>
      </c>
      <c r="CC43" s="195">
        <v>1.1000000000000001</v>
      </c>
      <c r="CD43" s="195" t="s">
        <v>121</v>
      </c>
    </row>
    <row r="44" spans="2:82" s="193" customFormat="1" ht="26.25" customHeight="1" x14ac:dyDescent="0.2">
      <c r="B44" s="174">
        <f t="shared" si="34"/>
        <v>6400</v>
      </c>
      <c r="C44" s="174">
        <f t="shared" si="35"/>
        <v>6600</v>
      </c>
      <c r="D44" s="175">
        <f t="shared" si="36"/>
        <v>200</v>
      </c>
      <c r="E44" s="176">
        <v>2</v>
      </c>
      <c r="F44" s="176">
        <v>4</v>
      </c>
      <c r="G44" s="176">
        <v>2</v>
      </c>
      <c r="H44" s="176">
        <v>1</v>
      </c>
      <c r="I44" s="176">
        <v>4</v>
      </c>
      <c r="J44" s="176">
        <v>4</v>
      </c>
      <c r="K44" s="176">
        <v>4</v>
      </c>
      <c r="L44" s="176">
        <v>5</v>
      </c>
      <c r="M44" s="176">
        <v>4</v>
      </c>
      <c r="N44" s="176">
        <v>2</v>
      </c>
      <c r="O44" s="176">
        <v>3</v>
      </c>
      <c r="P44" s="176">
        <v>3</v>
      </c>
      <c r="Q44" s="176">
        <v>2</v>
      </c>
      <c r="R44" s="176">
        <v>2</v>
      </c>
      <c r="S44" s="176">
        <v>2</v>
      </c>
      <c r="T44" s="176">
        <v>2</v>
      </c>
      <c r="U44" s="176">
        <v>2</v>
      </c>
      <c r="V44" s="176">
        <v>2</v>
      </c>
      <c r="W44" s="176">
        <v>1</v>
      </c>
      <c r="X44" s="176">
        <v>1</v>
      </c>
      <c r="Y44" s="176">
        <v>1</v>
      </c>
      <c r="Z44" s="176">
        <v>1</v>
      </c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6"/>
      <c r="AW44" s="178"/>
      <c r="AX44" s="179"/>
      <c r="AY44" s="180"/>
      <c r="AZ44" s="181" t="str">
        <f t="shared" si="37"/>
        <v>OK</v>
      </c>
      <c r="BA44" s="182">
        <f t="shared" si="38"/>
        <v>40</v>
      </c>
      <c r="BB44" s="183">
        <f t="shared" si="39"/>
        <v>80</v>
      </c>
      <c r="BC44" s="184">
        <f t="shared" si="40"/>
        <v>80</v>
      </c>
      <c r="BD44" s="183">
        <f t="shared" si="41"/>
        <v>0</v>
      </c>
      <c r="BE44" s="183">
        <f t="shared" si="42"/>
        <v>2.5</v>
      </c>
      <c r="BF44" s="185">
        <f t="shared" si="43"/>
        <v>2.5</v>
      </c>
      <c r="BH44" s="186">
        <f t="shared" si="44"/>
        <v>200</v>
      </c>
      <c r="BI44" s="187">
        <f t="shared" si="45"/>
        <v>0</v>
      </c>
      <c r="BJ44" s="187">
        <f t="shared" si="46"/>
        <v>0</v>
      </c>
      <c r="BK44" s="188">
        <f t="shared" si="47"/>
        <v>0</v>
      </c>
      <c r="BL44" s="187">
        <f t="shared" si="48"/>
        <v>200</v>
      </c>
      <c r="BM44" s="189">
        <f t="shared" si="49"/>
        <v>0</v>
      </c>
      <c r="BN44" s="190" t="str">
        <f t="shared" si="50"/>
        <v>Pemeliharaan Rutin</v>
      </c>
      <c r="BO44" s="191"/>
      <c r="BP44" s="192" t="str">
        <f t="shared" si="15"/>
        <v>B</v>
      </c>
      <c r="BR44" s="194" t="s">
        <v>49</v>
      </c>
      <c r="BS44" s="194"/>
      <c r="BT44" s="194" t="s">
        <v>54</v>
      </c>
      <c r="BU44" s="212"/>
      <c r="BV44" s="195" t="s">
        <v>119</v>
      </c>
      <c r="BW44" s="212"/>
      <c r="BX44" s="195">
        <v>3.5</v>
      </c>
      <c r="BY44" s="195">
        <v>1.5</v>
      </c>
      <c r="BZ44" s="195">
        <v>2</v>
      </c>
      <c r="CA44" s="195" t="s">
        <v>123</v>
      </c>
      <c r="CB44" s="195" t="s">
        <v>121</v>
      </c>
      <c r="CC44" s="195" t="s">
        <v>123</v>
      </c>
      <c r="CD44" s="195" t="s">
        <v>121</v>
      </c>
    </row>
    <row r="45" spans="2:82" s="193" customFormat="1" ht="26.25" customHeight="1" x14ac:dyDescent="0.2">
      <c r="B45" s="174">
        <f>C44</f>
        <v>6600</v>
      </c>
      <c r="C45" s="174">
        <f>B45+200</f>
        <v>6800</v>
      </c>
      <c r="D45" s="175">
        <f t="shared" si="36"/>
        <v>200</v>
      </c>
      <c r="E45" s="176">
        <v>2</v>
      </c>
      <c r="F45" s="176">
        <v>4</v>
      </c>
      <c r="G45" s="176">
        <v>2</v>
      </c>
      <c r="H45" s="176">
        <v>1</v>
      </c>
      <c r="I45" s="176">
        <v>4</v>
      </c>
      <c r="J45" s="176">
        <v>4</v>
      </c>
      <c r="K45" s="176">
        <v>4</v>
      </c>
      <c r="L45" s="176">
        <v>5</v>
      </c>
      <c r="M45" s="176">
        <v>4</v>
      </c>
      <c r="N45" s="176">
        <v>2</v>
      </c>
      <c r="O45" s="176">
        <v>3</v>
      </c>
      <c r="P45" s="176">
        <v>3</v>
      </c>
      <c r="Q45" s="176">
        <v>2</v>
      </c>
      <c r="R45" s="176">
        <v>2</v>
      </c>
      <c r="S45" s="176">
        <v>2</v>
      </c>
      <c r="T45" s="176">
        <v>2</v>
      </c>
      <c r="U45" s="176">
        <v>2</v>
      </c>
      <c r="V45" s="176">
        <v>2</v>
      </c>
      <c r="W45" s="176">
        <v>1</v>
      </c>
      <c r="X45" s="176">
        <v>1</v>
      </c>
      <c r="Y45" s="176">
        <v>1</v>
      </c>
      <c r="Z45" s="176">
        <v>1</v>
      </c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6"/>
      <c r="AW45" s="178"/>
      <c r="AX45" s="179"/>
      <c r="AY45" s="180"/>
      <c r="AZ45" s="181" t="str">
        <f t="shared" ref="AZ45:AZ46" si="51">IF(OR((SUM(AA45:AV45)+AY45)&gt;0,D45&lt;=0),"ERROR","OK")</f>
        <v>OK</v>
      </c>
      <c r="BA45" s="182">
        <f t="shared" si="38"/>
        <v>40</v>
      </c>
      <c r="BB45" s="183">
        <f t="shared" si="39"/>
        <v>80</v>
      </c>
      <c r="BC45" s="184">
        <f t="shared" si="40"/>
        <v>80</v>
      </c>
      <c r="BD45" s="183">
        <f t="shared" si="41"/>
        <v>0</v>
      </c>
      <c r="BE45" s="183">
        <f t="shared" si="42"/>
        <v>2.5</v>
      </c>
      <c r="BF45" s="185">
        <f t="shared" si="43"/>
        <v>2.5</v>
      </c>
      <c r="BH45" s="186">
        <f t="shared" si="44"/>
        <v>200</v>
      </c>
      <c r="BI45" s="187">
        <f t="shared" si="45"/>
        <v>0</v>
      </c>
      <c r="BJ45" s="187">
        <f t="shared" si="46"/>
        <v>0</v>
      </c>
      <c r="BK45" s="188">
        <f t="shared" si="47"/>
        <v>0</v>
      </c>
      <c r="BL45" s="187">
        <f t="shared" si="48"/>
        <v>200</v>
      </c>
      <c r="BM45" s="189">
        <f t="shared" si="49"/>
        <v>0</v>
      </c>
      <c r="BN45" s="190" t="str">
        <f t="shared" si="50"/>
        <v>Pemeliharaan Rutin</v>
      </c>
      <c r="BO45" s="191"/>
      <c r="BP45" s="192" t="str">
        <f t="shared" si="15"/>
        <v>B</v>
      </c>
      <c r="BR45" s="194" t="s">
        <v>46</v>
      </c>
      <c r="BS45" s="194"/>
      <c r="BT45" s="194" t="s">
        <v>55</v>
      </c>
      <c r="BU45" s="212"/>
      <c r="BV45" s="195" t="s">
        <v>119</v>
      </c>
      <c r="BW45" s="212"/>
      <c r="BX45" s="195">
        <v>3.5</v>
      </c>
      <c r="BY45" s="195"/>
      <c r="BZ45" s="195">
        <v>1</v>
      </c>
      <c r="CA45" s="195" t="s">
        <v>122</v>
      </c>
      <c r="CB45" s="195" t="s">
        <v>121</v>
      </c>
      <c r="CC45" s="195" t="s">
        <v>122</v>
      </c>
      <c r="CD45" s="195"/>
    </row>
    <row r="46" spans="2:82" s="193" customFormat="1" ht="26.25" customHeight="1" x14ac:dyDescent="0.2">
      <c r="B46" s="174">
        <f t="shared" ref="B46" si="52">C45</f>
        <v>6800</v>
      </c>
      <c r="C46" s="174">
        <f t="shared" ref="C46" si="53">B46+200</f>
        <v>7000</v>
      </c>
      <c r="D46" s="175">
        <f t="shared" si="36"/>
        <v>200</v>
      </c>
      <c r="E46" s="176">
        <v>2</v>
      </c>
      <c r="F46" s="176">
        <v>4</v>
      </c>
      <c r="G46" s="176">
        <v>2</v>
      </c>
      <c r="H46" s="176">
        <v>1</v>
      </c>
      <c r="I46" s="176">
        <v>4</v>
      </c>
      <c r="J46" s="176">
        <v>4</v>
      </c>
      <c r="K46" s="176">
        <v>4</v>
      </c>
      <c r="L46" s="176">
        <v>5</v>
      </c>
      <c r="M46" s="176">
        <v>4</v>
      </c>
      <c r="N46" s="176">
        <v>2</v>
      </c>
      <c r="O46" s="176">
        <v>3</v>
      </c>
      <c r="P46" s="176">
        <v>3</v>
      </c>
      <c r="Q46" s="176">
        <v>2</v>
      </c>
      <c r="R46" s="176">
        <v>2</v>
      </c>
      <c r="S46" s="176">
        <v>2</v>
      </c>
      <c r="T46" s="176">
        <v>2</v>
      </c>
      <c r="U46" s="176">
        <v>2</v>
      </c>
      <c r="V46" s="176">
        <v>2</v>
      </c>
      <c r="W46" s="176">
        <v>1</v>
      </c>
      <c r="X46" s="176">
        <v>1</v>
      </c>
      <c r="Y46" s="176">
        <v>1</v>
      </c>
      <c r="Z46" s="176">
        <v>1</v>
      </c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6"/>
      <c r="AW46" s="178"/>
      <c r="AX46" s="179"/>
      <c r="AY46" s="180"/>
      <c r="AZ46" s="181" t="str">
        <f t="shared" si="51"/>
        <v>OK</v>
      </c>
      <c r="BA46" s="182">
        <f t="shared" si="38"/>
        <v>40</v>
      </c>
      <c r="BB46" s="183">
        <f t="shared" si="39"/>
        <v>80</v>
      </c>
      <c r="BC46" s="184">
        <f t="shared" si="40"/>
        <v>80</v>
      </c>
      <c r="BD46" s="183">
        <f t="shared" si="41"/>
        <v>0</v>
      </c>
      <c r="BE46" s="183">
        <f t="shared" si="42"/>
        <v>2.5</v>
      </c>
      <c r="BF46" s="185">
        <f t="shared" si="43"/>
        <v>2.5</v>
      </c>
      <c r="BH46" s="186">
        <f t="shared" si="44"/>
        <v>200</v>
      </c>
      <c r="BI46" s="187">
        <f t="shared" si="45"/>
        <v>0</v>
      </c>
      <c r="BJ46" s="187">
        <f t="shared" si="46"/>
        <v>0</v>
      </c>
      <c r="BK46" s="188">
        <f t="shared" si="47"/>
        <v>0</v>
      </c>
      <c r="BL46" s="187">
        <f t="shared" si="48"/>
        <v>200</v>
      </c>
      <c r="BM46" s="189">
        <f t="shared" si="49"/>
        <v>0</v>
      </c>
      <c r="BN46" s="190" t="str">
        <f t="shared" si="50"/>
        <v>Pemeliharaan Rutin</v>
      </c>
      <c r="BO46" s="191"/>
      <c r="BP46" s="192" t="str">
        <f t="shared" si="15"/>
        <v>B</v>
      </c>
      <c r="BR46" s="194" t="s">
        <v>46</v>
      </c>
      <c r="BS46" s="194"/>
      <c r="BT46" s="194" t="s">
        <v>55</v>
      </c>
      <c r="BU46" s="212"/>
      <c r="BV46" s="195" t="s">
        <v>119</v>
      </c>
      <c r="BW46" s="212"/>
      <c r="BX46" s="195">
        <v>3.5</v>
      </c>
      <c r="BY46" s="195"/>
      <c r="BZ46" s="195"/>
      <c r="CA46" s="195" t="s">
        <v>122</v>
      </c>
      <c r="CB46" s="195"/>
      <c r="CC46" s="195" t="s">
        <v>122</v>
      </c>
      <c r="CD46" s="195"/>
    </row>
    <row r="47" spans="2:82" s="193" customFormat="1" ht="26.25" customHeight="1" x14ac:dyDescent="0.2">
      <c r="B47" s="198"/>
      <c r="C47" s="198"/>
      <c r="D47" s="199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200"/>
      <c r="AY47" s="201"/>
      <c r="AZ47" s="202"/>
      <c r="BA47" s="203"/>
      <c r="BB47" s="203"/>
      <c r="BC47" s="204"/>
      <c r="BD47" s="203"/>
      <c r="BE47" s="203"/>
      <c r="BF47" s="205"/>
      <c r="BH47" s="206"/>
      <c r="BI47" s="206"/>
      <c r="BJ47" s="206"/>
      <c r="BK47" s="207"/>
      <c r="BL47" s="206"/>
      <c r="BM47" s="206"/>
      <c r="BN47" s="191"/>
      <c r="BO47" s="191"/>
      <c r="BP47" s="201"/>
      <c r="BR47" s="213"/>
      <c r="BS47" s="213"/>
      <c r="BT47" s="213"/>
      <c r="BU47" s="213"/>
      <c r="BV47" s="213"/>
      <c r="BW47" s="213"/>
      <c r="BX47" s="213"/>
      <c r="BY47" s="213"/>
      <c r="BZ47" s="213"/>
      <c r="CA47" s="213"/>
      <c r="CB47" s="213"/>
      <c r="CC47" s="213"/>
      <c r="CD47" s="213"/>
    </row>
    <row r="48" spans="2:82" s="208" customFormat="1" ht="26.25" customHeight="1" x14ac:dyDescent="0.2">
      <c r="BN48" s="196"/>
      <c r="BO48" s="196"/>
      <c r="BP48" s="209"/>
      <c r="BQ48" s="197"/>
      <c r="BR48" s="214"/>
      <c r="BS48" s="214"/>
      <c r="BT48" s="214"/>
      <c r="BU48" s="214"/>
      <c r="BV48" s="214"/>
      <c r="BW48" s="214"/>
      <c r="BX48" s="214"/>
      <c r="BY48" s="214"/>
      <c r="BZ48" s="214"/>
      <c r="CA48" s="214"/>
      <c r="CB48" s="214"/>
      <c r="CC48" s="214"/>
      <c r="CD48" s="214"/>
    </row>
    <row r="49" spans="51:82" s="208" customFormat="1" ht="26.25" customHeight="1" x14ac:dyDescent="0.2">
      <c r="BH49" s="210" t="s">
        <v>55</v>
      </c>
      <c r="BI49" s="210" t="s">
        <v>56</v>
      </c>
      <c r="BJ49" s="210" t="s">
        <v>53</v>
      </c>
      <c r="BK49" s="210" t="s">
        <v>54</v>
      </c>
      <c r="BL49" s="210" t="s">
        <v>50</v>
      </c>
      <c r="BM49" s="210" t="s">
        <v>57</v>
      </c>
      <c r="BN49" s="196"/>
      <c r="BO49" s="196"/>
      <c r="BP49" s="209"/>
      <c r="BQ49" s="197"/>
      <c r="BR49" s="214"/>
      <c r="BS49" s="214"/>
      <c r="BT49" s="214"/>
      <c r="BU49" s="214"/>
      <c r="BV49" s="214"/>
      <c r="BW49" s="214"/>
      <c r="BX49" s="214"/>
      <c r="BY49" s="214"/>
      <c r="BZ49" s="214"/>
      <c r="CA49" s="214"/>
      <c r="CB49" s="214"/>
      <c r="CC49" s="214"/>
      <c r="CD49" s="214"/>
    </row>
    <row r="50" spans="51:82" s="208" customFormat="1" ht="26.25" customHeight="1" x14ac:dyDescent="0.2">
      <c r="BH50" s="210">
        <f t="shared" ref="BH50:BM50" si="54">SUM(BH12:BH49)</f>
        <v>1800</v>
      </c>
      <c r="BI50" s="210">
        <f t="shared" si="54"/>
        <v>5200</v>
      </c>
      <c r="BJ50" s="210">
        <f t="shared" si="54"/>
        <v>0</v>
      </c>
      <c r="BK50" s="210">
        <f t="shared" si="54"/>
        <v>0</v>
      </c>
      <c r="BL50" s="210">
        <f t="shared" si="54"/>
        <v>7000</v>
      </c>
      <c r="BM50" s="210">
        <f t="shared" si="54"/>
        <v>0</v>
      </c>
      <c r="BN50" s="196"/>
      <c r="BO50" s="196"/>
      <c r="BP50" s="209"/>
      <c r="BQ50" s="197"/>
      <c r="BR50" s="214"/>
      <c r="BS50" s="214"/>
      <c r="BT50" s="214"/>
      <c r="BU50" s="214"/>
      <c r="BV50" s="214"/>
      <c r="BW50" s="214"/>
      <c r="BX50" s="214"/>
      <c r="BY50" s="214"/>
      <c r="BZ50" s="214"/>
      <c r="CA50" s="214"/>
      <c r="CB50" s="214"/>
      <c r="CC50" s="214"/>
      <c r="CD50" s="214"/>
    </row>
    <row r="51" spans="51:82" s="208" customFormat="1" ht="26.25" customHeight="1" x14ac:dyDescent="0.2">
      <c r="BO51" s="215"/>
      <c r="BP51" s="201"/>
      <c r="BQ51" s="197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</row>
    <row r="52" spans="51:82" s="208" customFormat="1" ht="26.25" customHeight="1" x14ac:dyDescent="0.2">
      <c r="BN52" s="210" t="s">
        <v>58</v>
      </c>
      <c r="BO52" s="215"/>
      <c r="BP52" s="209"/>
      <c r="BQ52" s="197"/>
      <c r="BR52" s="214"/>
      <c r="BS52" s="214"/>
      <c r="BT52" s="214"/>
      <c r="BU52" s="214"/>
      <c r="BV52" s="214"/>
      <c r="BW52" s="214"/>
      <c r="BX52" s="214"/>
      <c r="BY52" s="214"/>
      <c r="BZ52" s="214"/>
      <c r="CA52" s="214"/>
      <c r="CB52" s="214"/>
      <c r="CC52" s="214"/>
      <c r="CD52" s="214"/>
    </row>
    <row r="53" spans="51:82" s="208" customFormat="1" ht="26.25" customHeight="1" x14ac:dyDescent="0.2">
      <c r="BN53" s="210">
        <f>SUM(BL50:BM50)</f>
        <v>7000</v>
      </c>
      <c r="BO53" s="215"/>
      <c r="BP53" s="209"/>
      <c r="BQ53" s="197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</row>
    <row r="54" spans="51:82" x14ac:dyDescent="0.2">
      <c r="BP54" s="88"/>
      <c r="BQ54" s="85"/>
    </row>
    <row r="55" spans="51:82" x14ac:dyDescent="0.2">
      <c r="BP55" s="88"/>
      <c r="BQ55" s="85"/>
    </row>
    <row r="56" spans="51:82" x14ac:dyDescent="0.2">
      <c r="BP56" s="88"/>
      <c r="BQ56" s="85"/>
    </row>
    <row r="57" spans="51:82" x14ac:dyDescent="0.2">
      <c r="BP57" s="88"/>
      <c r="BQ57" s="85"/>
    </row>
    <row r="58" spans="51:82" x14ac:dyDescent="0.2">
      <c r="BP58" s="88"/>
      <c r="BQ58" s="85"/>
    </row>
    <row r="59" spans="51:82" x14ac:dyDescent="0.2">
      <c r="BP59" s="88"/>
      <c r="BQ59" s="85"/>
    </row>
    <row r="60" spans="51:82" x14ac:dyDescent="0.2">
      <c r="BP60" s="88"/>
      <c r="BQ60" s="85"/>
    </row>
    <row r="61" spans="51:82" x14ac:dyDescent="0.2">
      <c r="BP61" s="88"/>
      <c r="BQ61" s="85"/>
    </row>
    <row r="62" spans="51:82" x14ac:dyDescent="0.2">
      <c r="BP62" s="88"/>
      <c r="BQ62" s="85"/>
    </row>
    <row r="63" spans="51:82" x14ac:dyDescent="0.2">
      <c r="AY63" s="40"/>
      <c r="BB63" s="40"/>
      <c r="BC63" s="40"/>
      <c r="BP63" s="88"/>
      <c r="BQ63" s="85"/>
    </row>
    <row r="64" spans="51:82" x14ac:dyDescent="0.2">
      <c r="AY64" s="40"/>
      <c r="BB64" s="40"/>
      <c r="BC64" s="40"/>
      <c r="BP64" s="88"/>
      <c r="BQ64" s="85"/>
    </row>
    <row r="65" spans="51:69" x14ac:dyDescent="0.2">
      <c r="AY65" s="40"/>
      <c r="BB65" s="40"/>
      <c r="BC65" s="40"/>
      <c r="BP65" s="87"/>
      <c r="BQ65" s="87"/>
    </row>
    <row r="66" spans="51:69" x14ac:dyDescent="0.2">
      <c r="AY66" s="40"/>
      <c r="BB66" s="40"/>
      <c r="BC66" s="40"/>
      <c r="BP66" s="85"/>
    </row>
    <row r="67" spans="51:69" x14ac:dyDescent="0.2">
      <c r="AY67" s="40"/>
      <c r="BB67" s="40"/>
      <c r="BC67" s="40"/>
      <c r="BP67" s="85"/>
    </row>
    <row r="68" spans="51:69" x14ac:dyDescent="0.2">
      <c r="AY68" s="40"/>
      <c r="BB68" s="40"/>
      <c r="BC68" s="40"/>
      <c r="BP68" s="85"/>
    </row>
    <row r="69" spans="51:69" x14ac:dyDescent="0.2">
      <c r="BP69" s="85"/>
    </row>
    <row r="72" spans="51:69" x14ac:dyDescent="0.2">
      <c r="BP72" s="85"/>
    </row>
    <row r="73" spans="51:69" x14ac:dyDescent="0.2">
      <c r="BP73" s="85"/>
    </row>
    <row r="74" spans="51:69" x14ac:dyDescent="0.2">
      <c r="BP74" s="85"/>
    </row>
    <row r="75" spans="51:69" x14ac:dyDescent="0.2">
      <c r="BP75" s="85"/>
    </row>
    <row r="76" spans="51:69" x14ac:dyDescent="0.2">
      <c r="BP76" s="85"/>
    </row>
    <row r="77" spans="51:69" x14ac:dyDescent="0.2">
      <c r="BP77" s="85"/>
    </row>
    <row r="78" spans="51:69" x14ac:dyDescent="0.2">
      <c r="BP78" s="85"/>
    </row>
    <row r="79" spans="51:69" x14ac:dyDescent="0.2">
      <c r="BP79" s="85"/>
    </row>
    <row r="80" spans="51:69" x14ac:dyDescent="0.2">
      <c r="BP80" s="85"/>
    </row>
    <row r="81" spans="68:68" x14ac:dyDescent="0.2">
      <c r="BP81" s="85"/>
    </row>
    <row r="82" spans="68:68" x14ac:dyDescent="0.2">
      <c r="BP82" s="85"/>
    </row>
    <row r="83" spans="68:68" x14ac:dyDescent="0.2">
      <c r="BP83" s="85"/>
    </row>
    <row r="84" spans="68:68" x14ac:dyDescent="0.2">
      <c r="BP84" s="85"/>
    </row>
    <row r="85" spans="68:68" x14ac:dyDescent="0.2">
      <c r="BP85" s="85"/>
    </row>
    <row r="86" spans="68:68" x14ac:dyDescent="0.2">
      <c r="BP86" s="85"/>
    </row>
    <row r="87" spans="68:68" x14ac:dyDescent="0.2">
      <c r="BP87" s="85"/>
    </row>
    <row r="88" spans="68:68" x14ac:dyDescent="0.2">
      <c r="BP88" s="85"/>
    </row>
  </sheetData>
  <mergeCells count="59">
    <mergeCell ref="C2:D2"/>
    <mergeCell ref="C3:D3"/>
    <mergeCell ref="C4:K4"/>
    <mergeCell ref="E6:Z6"/>
    <mergeCell ref="B7:C8"/>
    <mergeCell ref="D7:D10"/>
    <mergeCell ref="E7:H7"/>
    <mergeCell ref="I7:K7"/>
    <mergeCell ref="L7:P7"/>
    <mergeCell ref="Q7:Z7"/>
    <mergeCell ref="U8:V8"/>
    <mergeCell ref="N8:N9"/>
    <mergeCell ref="O8:P8"/>
    <mergeCell ref="BH7:BK7"/>
    <mergeCell ref="BL7:BM7"/>
    <mergeCell ref="E8:E9"/>
    <mergeCell ref="F8:F9"/>
    <mergeCell ref="G8:G9"/>
    <mergeCell ref="H8:H9"/>
    <mergeCell ref="I8:I9"/>
    <mergeCell ref="J8:J9"/>
    <mergeCell ref="K8:K9"/>
    <mergeCell ref="L8:L9"/>
    <mergeCell ref="AA7:AV7"/>
    <mergeCell ref="AX7:AX10"/>
    <mergeCell ref="AY7:AY10"/>
    <mergeCell ref="AZ7:AZ10"/>
    <mergeCell ref="BA7:BE7"/>
    <mergeCell ref="M8:M9"/>
    <mergeCell ref="BL8:BM8"/>
    <mergeCell ref="B9:B10"/>
    <mergeCell ref="C9:C10"/>
    <mergeCell ref="BH9:BH10"/>
    <mergeCell ref="BI9:BI10"/>
    <mergeCell ref="BJ9:BJ10"/>
    <mergeCell ref="BK9:BK10"/>
    <mergeCell ref="BL9:BL10"/>
    <mergeCell ref="BM9:BM10"/>
    <mergeCell ref="W8:X8"/>
    <mergeCell ref="Y8:Z8"/>
    <mergeCell ref="AA8:AV10"/>
    <mergeCell ref="BA8:BA10"/>
    <mergeCell ref="BF7:BF10"/>
    <mergeCell ref="BD8:BD10"/>
    <mergeCell ref="BE8:BE10"/>
    <mergeCell ref="BB8:BB10"/>
    <mergeCell ref="BC8:BC10"/>
    <mergeCell ref="Q8:R8"/>
    <mergeCell ref="S8:T8"/>
    <mergeCell ref="BH8:BK8"/>
    <mergeCell ref="BY6:BZ6"/>
    <mergeCell ref="CA6:CD6"/>
    <mergeCell ref="CA7:CB7"/>
    <mergeCell ref="CC7:CD7"/>
    <mergeCell ref="BX7:BX10"/>
    <mergeCell ref="BY8:BY10"/>
    <mergeCell ref="BZ8:BZ10"/>
    <mergeCell ref="CB8:CB10"/>
    <mergeCell ref="CD8:CD10"/>
  </mergeCells>
  <conditionalFormatting sqref="BP72:BP65554 BP1:BP7 BP11:BP69">
    <cfRule type="expression" dxfId="6" priority="222" stopIfTrue="1">
      <formula>LEFT(BP1,2)="RB"</formula>
    </cfRule>
    <cfRule type="expression" dxfId="5" priority="223" stopIfTrue="1">
      <formula>LEFT(BP1,2)="RR"</formula>
    </cfRule>
    <cfRule type="expression" dxfId="4" priority="224" stopIfTrue="1">
      <formula>LEFT(BP1,1)="B"</formula>
    </cfRule>
  </conditionalFormatting>
  <conditionalFormatting sqref="BP72:BP65554 BP1:BP7 BP11:BP69">
    <cfRule type="expression" dxfId="3" priority="218" stopIfTrue="1">
      <formula>LEFT(BP1,2)="RB"</formula>
    </cfRule>
    <cfRule type="expression" dxfId="2" priority="219" stopIfTrue="1">
      <formula>LEFT(BP1,2)="RR"</formula>
    </cfRule>
    <cfRule type="expression" dxfId="1" priority="220" stopIfTrue="1">
      <formula>LEFT(BP1,1)="B"</formula>
    </cfRule>
    <cfRule type="expression" dxfId="0" priority="221" stopIfTrue="1">
      <formula>LEFT(BP1,1)="S"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50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2:CD52"/>
  <sheetViews>
    <sheetView showGridLines="0" view="pageBreakPreview" zoomScale="85" zoomScaleSheetLayoutView="85" workbookViewId="0">
      <selection activeCell="AR49" sqref="AR49"/>
    </sheetView>
  </sheetViews>
  <sheetFormatPr defaultColWidth="9.140625" defaultRowHeight="12.75" x14ac:dyDescent="0.2"/>
  <cols>
    <col min="1" max="1" width="2.28515625" style="146" customWidth="1"/>
    <col min="2" max="2" width="9.42578125" style="146" customWidth="1"/>
    <col min="3" max="3" width="9.28515625" style="146" customWidth="1"/>
    <col min="4" max="4" width="8.140625" style="146" customWidth="1"/>
    <col min="5" max="10" width="10.5703125" style="146" customWidth="1"/>
    <col min="11" max="13" width="6.7109375" style="146" customWidth="1"/>
    <col min="14" max="14" width="7.5703125" style="146" customWidth="1"/>
    <col min="15" max="24" width="6.7109375" style="146" customWidth="1"/>
    <col min="25" max="46" width="6.28515625" style="146" hidden="1" customWidth="1"/>
    <col min="47" max="47" width="0.7109375" style="146" customWidth="1"/>
    <col min="48" max="48" width="8.42578125" style="146" customWidth="1"/>
    <col min="49" max="49" width="6.28515625" style="147" hidden="1" customWidth="1"/>
    <col min="50" max="50" width="7.7109375" style="146" hidden="1" customWidth="1"/>
    <col min="51" max="51" width="5" style="146" hidden="1" customWidth="1"/>
    <col min="52" max="52" width="7.42578125" style="146" hidden="1" customWidth="1"/>
    <col min="53" max="53" width="6.42578125" style="147" hidden="1" customWidth="1"/>
    <col min="54" max="54" width="6.140625" style="147" hidden="1" customWidth="1"/>
    <col min="55" max="55" width="7.7109375" style="146" hidden="1" customWidth="1"/>
    <col min="56" max="56" width="6.5703125" style="146" hidden="1" customWidth="1"/>
    <col min="57" max="58" width="7.5703125" style="146" hidden="1" customWidth="1"/>
    <col min="59" max="59" width="2.7109375" style="146" hidden="1" customWidth="1"/>
    <col min="60" max="60" width="15.140625" style="148" hidden="1" customWidth="1"/>
    <col min="61" max="61" width="2.7109375" style="148" hidden="1" customWidth="1"/>
    <col min="62" max="62" width="6.28515625" style="148" bestFit="1" customWidth="1"/>
    <col min="63" max="63" width="0.5703125" style="148" customWidth="1"/>
    <col min="64" max="64" width="13.7109375" style="148" customWidth="1"/>
    <col min="65" max="65" width="1" style="148" customWidth="1"/>
    <col min="66" max="66" width="9.7109375" style="148" customWidth="1"/>
    <col min="67" max="67" width="2.7109375" style="146" customWidth="1"/>
    <col min="68" max="68" width="1" style="146" customWidth="1"/>
    <col min="69" max="69" width="6.7109375" style="146" customWidth="1"/>
    <col min="70" max="70" width="8.140625" style="146" customWidth="1"/>
    <col min="71" max="71" width="7.85546875" style="146" customWidth="1"/>
    <col min="72" max="72" width="8.28515625" style="146" customWidth="1"/>
    <col min="73" max="74" width="9.140625" style="146" customWidth="1"/>
    <col min="75" max="75" width="32.5703125" style="146" customWidth="1"/>
    <col min="76" max="246" width="9.140625" style="146"/>
    <col min="247" max="247" width="2.28515625" style="146" customWidth="1"/>
    <col min="248" max="248" width="11" style="146" customWidth="1"/>
    <col min="249" max="249" width="13.140625" style="146" customWidth="1"/>
    <col min="250" max="250" width="12.140625" style="146" customWidth="1"/>
    <col min="251" max="251" width="7.42578125" style="146" customWidth="1"/>
    <col min="252" max="252" width="8.42578125" style="146" customWidth="1"/>
    <col min="253" max="253" width="8.140625" style="146" customWidth="1"/>
    <col min="254" max="254" width="5.85546875" style="146" customWidth="1"/>
    <col min="255" max="255" width="5.7109375" style="146" customWidth="1"/>
    <col min="256" max="256" width="8" style="146" customWidth="1"/>
    <col min="257" max="257" width="6.5703125" style="146" customWidth="1"/>
    <col min="258" max="258" width="6.85546875" style="146" customWidth="1"/>
    <col min="259" max="259" width="6.28515625" style="146" customWidth="1"/>
    <col min="260" max="260" width="6.5703125" style="146" customWidth="1"/>
    <col min="261" max="261" width="5.28515625" style="146" customWidth="1"/>
    <col min="262" max="262" width="6.140625" style="146" customWidth="1"/>
    <col min="263" max="264" width="5.42578125" style="146" customWidth="1"/>
    <col min="265" max="265" width="6.7109375" style="146" customWidth="1"/>
    <col min="266" max="266" width="6.5703125" style="146" customWidth="1"/>
    <col min="267" max="267" width="6.42578125" style="146" customWidth="1"/>
    <col min="268" max="268" width="6.5703125" style="146" customWidth="1"/>
    <col min="269" max="269" width="5.85546875" style="146" customWidth="1"/>
    <col min="270" max="270" width="6.28515625" style="146" customWidth="1"/>
    <col min="271" max="292" width="0" style="146" hidden="1" customWidth="1"/>
    <col min="293" max="293" width="0.7109375" style="146" customWidth="1"/>
    <col min="294" max="294" width="8.42578125" style="146" customWidth="1"/>
    <col min="295" max="296" width="0" style="146" hidden="1" customWidth="1"/>
    <col min="297" max="297" width="5" style="146" customWidth="1"/>
    <col min="298" max="298" width="7.42578125" style="146" customWidth="1"/>
    <col min="299" max="299" width="6.42578125" style="146" customWidth="1"/>
    <col min="300" max="300" width="6.140625" style="146" customWidth="1"/>
    <col min="301" max="301" width="0" style="146" hidden="1" customWidth="1"/>
    <col min="302" max="302" width="6.5703125" style="146" customWidth="1"/>
    <col min="303" max="304" width="7.5703125" style="146" customWidth="1"/>
    <col min="305" max="305" width="2.7109375" style="146" customWidth="1"/>
    <col min="306" max="306" width="15.140625" style="146" customWidth="1"/>
    <col min="307" max="307" width="2.7109375" style="146" customWidth="1"/>
    <col min="308" max="308" width="8.42578125" style="146" customWidth="1"/>
    <col min="309" max="309" width="2.7109375" style="146" customWidth="1"/>
    <col min="310" max="310" width="13.7109375" style="146" customWidth="1"/>
    <col min="311" max="311" width="2.7109375" style="146" customWidth="1"/>
    <col min="312" max="312" width="9.7109375" style="146" customWidth="1"/>
    <col min="313" max="313" width="2.7109375" style="146" customWidth="1"/>
    <col min="314" max="314" width="1" style="146" customWidth="1"/>
    <col min="315" max="315" width="6.7109375" style="146" customWidth="1"/>
    <col min="316" max="316" width="8.140625" style="146" customWidth="1"/>
    <col min="317" max="317" width="7.85546875" style="146" customWidth="1"/>
    <col min="318" max="318" width="8.28515625" style="146" customWidth="1"/>
    <col min="319" max="320" width="9.140625" style="146" customWidth="1"/>
    <col min="321" max="321" width="32.5703125" style="146" customWidth="1"/>
    <col min="322" max="322" width="9.140625" style="146" customWidth="1"/>
    <col min="323" max="323" width="3.140625" style="146" customWidth="1"/>
    <col min="324" max="324" width="13.85546875" style="146" customWidth="1"/>
    <col min="325" max="325" width="4.140625" style="146" customWidth="1"/>
    <col min="326" max="326" width="18.28515625" style="146" customWidth="1"/>
    <col min="327" max="327" width="1.5703125" style="146" customWidth="1"/>
    <col min="328" max="328" width="6" style="146" customWidth="1"/>
    <col min="329" max="329" width="2.5703125" style="146" customWidth="1"/>
    <col min="330" max="330" width="10.28515625" style="146" customWidth="1"/>
    <col min="331" max="331" width="5.42578125" style="146" customWidth="1"/>
    <col min="332" max="502" width="9.140625" style="146"/>
    <col min="503" max="503" width="2.28515625" style="146" customWidth="1"/>
    <col min="504" max="504" width="11" style="146" customWidth="1"/>
    <col min="505" max="505" width="13.140625" style="146" customWidth="1"/>
    <col min="506" max="506" width="12.140625" style="146" customWidth="1"/>
    <col min="507" max="507" width="7.42578125" style="146" customWidth="1"/>
    <col min="508" max="508" width="8.42578125" style="146" customWidth="1"/>
    <col min="509" max="509" width="8.140625" style="146" customWidth="1"/>
    <col min="510" max="510" width="5.85546875" style="146" customWidth="1"/>
    <col min="511" max="511" width="5.7109375" style="146" customWidth="1"/>
    <col min="512" max="512" width="8" style="146" customWidth="1"/>
    <col min="513" max="513" width="6.5703125" style="146" customWidth="1"/>
    <col min="514" max="514" width="6.85546875" style="146" customWidth="1"/>
    <col min="515" max="515" width="6.28515625" style="146" customWidth="1"/>
    <col min="516" max="516" width="6.5703125" style="146" customWidth="1"/>
    <col min="517" max="517" width="5.28515625" style="146" customWidth="1"/>
    <col min="518" max="518" width="6.140625" style="146" customWidth="1"/>
    <col min="519" max="520" width="5.42578125" style="146" customWidth="1"/>
    <col min="521" max="521" width="6.7109375" style="146" customWidth="1"/>
    <col min="522" max="522" width="6.5703125" style="146" customWidth="1"/>
    <col min="523" max="523" width="6.42578125" style="146" customWidth="1"/>
    <col min="524" max="524" width="6.5703125" style="146" customWidth="1"/>
    <col min="525" max="525" width="5.85546875" style="146" customWidth="1"/>
    <col min="526" max="526" width="6.28515625" style="146" customWidth="1"/>
    <col min="527" max="548" width="0" style="146" hidden="1" customWidth="1"/>
    <col min="549" max="549" width="0.7109375" style="146" customWidth="1"/>
    <col min="550" max="550" width="8.42578125" style="146" customWidth="1"/>
    <col min="551" max="552" width="0" style="146" hidden="1" customWidth="1"/>
    <col min="553" max="553" width="5" style="146" customWidth="1"/>
    <col min="554" max="554" width="7.42578125" style="146" customWidth="1"/>
    <col min="555" max="555" width="6.42578125" style="146" customWidth="1"/>
    <col min="556" max="556" width="6.140625" style="146" customWidth="1"/>
    <col min="557" max="557" width="0" style="146" hidden="1" customWidth="1"/>
    <col min="558" max="558" width="6.5703125" style="146" customWidth="1"/>
    <col min="559" max="560" width="7.5703125" style="146" customWidth="1"/>
    <col min="561" max="561" width="2.7109375" style="146" customWidth="1"/>
    <col min="562" max="562" width="15.140625" style="146" customWidth="1"/>
    <col min="563" max="563" width="2.7109375" style="146" customWidth="1"/>
    <col min="564" max="564" width="8.42578125" style="146" customWidth="1"/>
    <col min="565" max="565" width="2.7109375" style="146" customWidth="1"/>
    <col min="566" max="566" width="13.7109375" style="146" customWidth="1"/>
    <col min="567" max="567" width="2.7109375" style="146" customWidth="1"/>
    <col min="568" max="568" width="9.7109375" style="146" customWidth="1"/>
    <col min="569" max="569" width="2.7109375" style="146" customWidth="1"/>
    <col min="570" max="570" width="1" style="146" customWidth="1"/>
    <col min="571" max="571" width="6.7109375" style="146" customWidth="1"/>
    <col min="572" max="572" width="8.140625" style="146" customWidth="1"/>
    <col min="573" max="573" width="7.85546875" style="146" customWidth="1"/>
    <col min="574" max="574" width="8.28515625" style="146" customWidth="1"/>
    <col min="575" max="576" width="9.140625" style="146" customWidth="1"/>
    <col min="577" max="577" width="32.5703125" style="146" customWidth="1"/>
    <col min="578" max="578" width="9.140625" style="146" customWidth="1"/>
    <col min="579" max="579" width="3.140625" style="146" customWidth="1"/>
    <col min="580" max="580" width="13.85546875" style="146" customWidth="1"/>
    <col min="581" max="581" width="4.140625" style="146" customWidth="1"/>
    <col min="582" max="582" width="18.28515625" style="146" customWidth="1"/>
    <col min="583" max="583" width="1.5703125" style="146" customWidth="1"/>
    <col min="584" max="584" width="6" style="146" customWidth="1"/>
    <col min="585" max="585" width="2.5703125" style="146" customWidth="1"/>
    <col min="586" max="586" width="10.28515625" style="146" customWidth="1"/>
    <col min="587" max="587" width="5.42578125" style="146" customWidth="1"/>
    <col min="588" max="758" width="9.140625" style="146"/>
    <col min="759" max="759" width="2.28515625" style="146" customWidth="1"/>
    <col min="760" max="760" width="11" style="146" customWidth="1"/>
    <col min="761" max="761" width="13.140625" style="146" customWidth="1"/>
    <col min="762" max="762" width="12.140625" style="146" customWidth="1"/>
    <col min="763" max="763" width="7.42578125" style="146" customWidth="1"/>
    <col min="764" max="764" width="8.42578125" style="146" customWidth="1"/>
    <col min="765" max="765" width="8.140625" style="146" customWidth="1"/>
    <col min="766" max="766" width="5.85546875" style="146" customWidth="1"/>
    <col min="767" max="767" width="5.7109375" style="146" customWidth="1"/>
    <col min="768" max="768" width="8" style="146" customWidth="1"/>
    <col min="769" max="769" width="6.5703125" style="146" customWidth="1"/>
    <col min="770" max="770" width="6.85546875" style="146" customWidth="1"/>
    <col min="771" max="771" width="6.28515625" style="146" customWidth="1"/>
    <col min="772" max="772" width="6.5703125" style="146" customWidth="1"/>
    <col min="773" max="773" width="5.28515625" style="146" customWidth="1"/>
    <col min="774" max="774" width="6.140625" style="146" customWidth="1"/>
    <col min="775" max="776" width="5.42578125" style="146" customWidth="1"/>
    <col min="777" max="777" width="6.7109375" style="146" customWidth="1"/>
    <col min="778" max="778" width="6.5703125" style="146" customWidth="1"/>
    <col min="779" max="779" width="6.42578125" style="146" customWidth="1"/>
    <col min="780" max="780" width="6.5703125" style="146" customWidth="1"/>
    <col min="781" max="781" width="5.85546875" style="146" customWidth="1"/>
    <col min="782" max="782" width="6.28515625" style="146" customWidth="1"/>
    <col min="783" max="804" width="0" style="146" hidden="1" customWidth="1"/>
    <col min="805" max="805" width="0.7109375" style="146" customWidth="1"/>
    <col min="806" max="806" width="8.42578125" style="146" customWidth="1"/>
    <col min="807" max="808" width="0" style="146" hidden="1" customWidth="1"/>
    <col min="809" max="809" width="5" style="146" customWidth="1"/>
    <col min="810" max="810" width="7.42578125" style="146" customWidth="1"/>
    <col min="811" max="811" width="6.42578125" style="146" customWidth="1"/>
    <col min="812" max="812" width="6.140625" style="146" customWidth="1"/>
    <col min="813" max="813" width="0" style="146" hidden="1" customWidth="1"/>
    <col min="814" max="814" width="6.5703125" style="146" customWidth="1"/>
    <col min="815" max="816" width="7.5703125" style="146" customWidth="1"/>
    <col min="817" max="817" width="2.7109375" style="146" customWidth="1"/>
    <col min="818" max="818" width="15.140625" style="146" customWidth="1"/>
    <col min="819" max="819" width="2.7109375" style="146" customWidth="1"/>
    <col min="820" max="820" width="8.42578125" style="146" customWidth="1"/>
    <col min="821" max="821" width="2.7109375" style="146" customWidth="1"/>
    <col min="822" max="822" width="13.7109375" style="146" customWidth="1"/>
    <col min="823" max="823" width="2.7109375" style="146" customWidth="1"/>
    <col min="824" max="824" width="9.7109375" style="146" customWidth="1"/>
    <col min="825" max="825" width="2.7109375" style="146" customWidth="1"/>
    <col min="826" max="826" width="1" style="146" customWidth="1"/>
    <col min="827" max="827" width="6.7109375" style="146" customWidth="1"/>
    <col min="828" max="828" width="8.140625" style="146" customWidth="1"/>
    <col min="829" max="829" width="7.85546875" style="146" customWidth="1"/>
    <col min="830" max="830" width="8.28515625" style="146" customWidth="1"/>
    <col min="831" max="832" width="9.140625" style="146" customWidth="1"/>
    <col min="833" max="833" width="32.5703125" style="146" customWidth="1"/>
    <col min="834" max="834" width="9.140625" style="146" customWidth="1"/>
    <col min="835" max="835" width="3.140625" style="146" customWidth="1"/>
    <col min="836" max="836" width="13.85546875" style="146" customWidth="1"/>
    <col min="837" max="837" width="4.140625" style="146" customWidth="1"/>
    <col min="838" max="838" width="18.28515625" style="146" customWidth="1"/>
    <col min="839" max="839" width="1.5703125" style="146" customWidth="1"/>
    <col min="840" max="840" width="6" style="146" customWidth="1"/>
    <col min="841" max="841" width="2.5703125" style="146" customWidth="1"/>
    <col min="842" max="842" width="10.28515625" style="146" customWidth="1"/>
    <col min="843" max="843" width="5.42578125" style="146" customWidth="1"/>
    <col min="844" max="1014" width="9.140625" style="146"/>
    <col min="1015" max="1015" width="2.28515625" style="146" customWidth="1"/>
    <col min="1016" max="1016" width="11" style="146" customWidth="1"/>
    <col min="1017" max="1017" width="13.140625" style="146" customWidth="1"/>
    <col min="1018" max="1018" width="12.140625" style="146" customWidth="1"/>
    <col min="1019" max="1019" width="7.42578125" style="146" customWidth="1"/>
    <col min="1020" max="1020" width="8.42578125" style="146" customWidth="1"/>
    <col min="1021" max="1021" width="8.140625" style="146" customWidth="1"/>
    <col min="1022" max="1022" width="5.85546875" style="146" customWidth="1"/>
    <col min="1023" max="1023" width="5.7109375" style="146" customWidth="1"/>
    <col min="1024" max="1024" width="8" style="146" customWidth="1"/>
    <col min="1025" max="1025" width="6.5703125" style="146" customWidth="1"/>
    <col min="1026" max="1026" width="6.85546875" style="146" customWidth="1"/>
    <col min="1027" max="1027" width="6.28515625" style="146" customWidth="1"/>
    <col min="1028" max="1028" width="6.5703125" style="146" customWidth="1"/>
    <col min="1029" max="1029" width="5.28515625" style="146" customWidth="1"/>
    <col min="1030" max="1030" width="6.140625" style="146" customWidth="1"/>
    <col min="1031" max="1032" width="5.42578125" style="146" customWidth="1"/>
    <col min="1033" max="1033" width="6.7109375" style="146" customWidth="1"/>
    <col min="1034" max="1034" width="6.5703125" style="146" customWidth="1"/>
    <col min="1035" max="1035" width="6.42578125" style="146" customWidth="1"/>
    <col min="1036" max="1036" width="6.5703125" style="146" customWidth="1"/>
    <col min="1037" max="1037" width="5.85546875" style="146" customWidth="1"/>
    <col min="1038" max="1038" width="6.28515625" style="146" customWidth="1"/>
    <col min="1039" max="1060" width="0" style="146" hidden="1" customWidth="1"/>
    <col min="1061" max="1061" width="0.7109375" style="146" customWidth="1"/>
    <col min="1062" max="1062" width="8.42578125" style="146" customWidth="1"/>
    <col min="1063" max="1064" width="0" style="146" hidden="1" customWidth="1"/>
    <col min="1065" max="1065" width="5" style="146" customWidth="1"/>
    <col min="1066" max="1066" width="7.42578125" style="146" customWidth="1"/>
    <col min="1067" max="1067" width="6.42578125" style="146" customWidth="1"/>
    <col min="1068" max="1068" width="6.140625" style="146" customWidth="1"/>
    <col min="1069" max="1069" width="0" style="146" hidden="1" customWidth="1"/>
    <col min="1070" max="1070" width="6.5703125" style="146" customWidth="1"/>
    <col min="1071" max="1072" width="7.5703125" style="146" customWidth="1"/>
    <col min="1073" max="1073" width="2.7109375" style="146" customWidth="1"/>
    <col min="1074" max="1074" width="15.140625" style="146" customWidth="1"/>
    <col min="1075" max="1075" width="2.7109375" style="146" customWidth="1"/>
    <col min="1076" max="1076" width="8.42578125" style="146" customWidth="1"/>
    <col min="1077" max="1077" width="2.7109375" style="146" customWidth="1"/>
    <col min="1078" max="1078" width="13.7109375" style="146" customWidth="1"/>
    <col min="1079" max="1079" width="2.7109375" style="146" customWidth="1"/>
    <col min="1080" max="1080" width="9.7109375" style="146" customWidth="1"/>
    <col min="1081" max="1081" width="2.7109375" style="146" customWidth="1"/>
    <col min="1082" max="1082" width="1" style="146" customWidth="1"/>
    <col min="1083" max="1083" width="6.7109375" style="146" customWidth="1"/>
    <col min="1084" max="1084" width="8.140625" style="146" customWidth="1"/>
    <col min="1085" max="1085" width="7.85546875" style="146" customWidth="1"/>
    <col min="1086" max="1086" width="8.28515625" style="146" customWidth="1"/>
    <col min="1087" max="1088" width="9.140625" style="146" customWidth="1"/>
    <col min="1089" max="1089" width="32.5703125" style="146" customWidth="1"/>
    <col min="1090" max="1090" width="9.140625" style="146" customWidth="1"/>
    <col min="1091" max="1091" width="3.140625" style="146" customWidth="1"/>
    <col min="1092" max="1092" width="13.85546875" style="146" customWidth="1"/>
    <col min="1093" max="1093" width="4.140625" style="146" customWidth="1"/>
    <col min="1094" max="1094" width="18.28515625" style="146" customWidth="1"/>
    <col min="1095" max="1095" width="1.5703125" style="146" customWidth="1"/>
    <col min="1096" max="1096" width="6" style="146" customWidth="1"/>
    <col min="1097" max="1097" width="2.5703125" style="146" customWidth="1"/>
    <col min="1098" max="1098" width="10.28515625" style="146" customWidth="1"/>
    <col min="1099" max="1099" width="5.42578125" style="146" customWidth="1"/>
    <col min="1100" max="1270" width="9.140625" style="146"/>
    <col min="1271" max="1271" width="2.28515625" style="146" customWidth="1"/>
    <col min="1272" max="1272" width="11" style="146" customWidth="1"/>
    <col min="1273" max="1273" width="13.140625" style="146" customWidth="1"/>
    <col min="1274" max="1274" width="12.140625" style="146" customWidth="1"/>
    <col min="1275" max="1275" width="7.42578125" style="146" customWidth="1"/>
    <col min="1276" max="1276" width="8.42578125" style="146" customWidth="1"/>
    <col min="1277" max="1277" width="8.140625" style="146" customWidth="1"/>
    <col min="1278" max="1278" width="5.85546875" style="146" customWidth="1"/>
    <col min="1279" max="1279" width="5.7109375" style="146" customWidth="1"/>
    <col min="1280" max="1280" width="8" style="146" customWidth="1"/>
    <col min="1281" max="1281" width="6.5703125" style="146" customWidth="1"/>
    <col min="1282" max="1282" width="6.85546875" style="146" customWidth="1"/>
    <col min="1283" max="1283" width="6.28515625" style="146" customWidth="1"/>
    <col min="1284" max="1284" width="6.5703125" style="146" customWidth="1"/>
    <col min="1285" max="1285" width="5.28515625" style="146" customWidth="1"/>
    <col min="1286" max="1286" width="6.140625" style="146" customWidth="1"/>
    <col min="1287" max="1288" width="5.42578125" style="146" customWidth="1"/>
    <col min="1289" max="1289" width="6.7109375" style="146" customWidth="1"/>
    <col min="1290" max="1290" width="6.5703125" style="146" customWidth="1"/>
    <col min="1291" max="1291" width="6.42578125" style="146" customWidth="1"/>
    <col min="1292" max="1292" width="6.5703125" style="146" customWidth="1"/>
    <col min="1293" max="1293" width="5.85546875" style="146" customWidth="1"/>
    <col min="1294" max="1294" width="6.28515625" style="146" customWidth="1"/>
    <col min="1295" max="1316" width="0" style="146" hidden="1" customWidth="1"/>
    <col min="1317" max="1317" width="0.7109375" style="146" customWidth="1"/>
    <col min="1318" max="1318" width="8.42578125" style="146" customWidth="1"/>
    <col min="1319" max="1320" width="0" style="146" hidden="1" customWidth="1"/>
    <col min="1321" max="1321" width="5" style="146" customWidth="1"/>
    <col min="1322" max="1322" width="7.42578125" style="146" customWidth="1"/>
    <col min="1323" max="1323" width="6.42578125" style="146" customWidth="1"/>
    <col min="1324" max="1324" width="6.140625" style="146" customWidth="1"/>
    <col min="1325" max="1325" width="0" style="146" hidden="1" customWidth="1"/>
    <col min="1326" max="1326" width="6.5703125" style="146" customWidth="1"/>
    <col min="1327" max="1328" width="7.5703125" style="146" customWidth="1"/>
    <col min="1329" max="1329" width="2.7109375" style="146" customWidth="1"/>
    <col min="1330" max="1330" width="15.140625" style="146" customWidth="1"/>
    <col min="1331" max="1331" width="2.7109375" style="146" customWidth="1"/>
    <col min="1332" max="1332" width="8.42578125" style="146" customWidth="1"/>
    <col min="1333" max="1333" width="2.7109375" style="146" customWidth="1"/>
    <col min="1334" max="1334" width="13.7109375" style="146" customWidth="1"/>
    <col min="1335" max="1335" width="2.7109375" style="146" customWidth="1"/>
    <col min="1336" max="1336" width="9.7109375" style="146" customWidth="1"/>
    <col min="1337" max="1337" width="2.7109375" style="146" customWidth="1"/>
    <col min="1338" max="1338" width="1" style="146" customWidth="1"/>
    <col min="1339" max="1339" width="6.7109375" style="146" customWidth="1"/>
    <col min="1340" max="1340" width="8.140625" style="146" customWidth="1"/>
    <col min="1341" max="1341" width="7.85546875" style="146" customWidth="1"/>
    <col min="1342" max="1342" width="8.28515625" style="146" customWidth="1"/>
    <col min="1343" max="1344" width="9.140625" style="146" customWidth="1"/>
    <col min="1345" max="1345" width="32.5703125" style="146" customWidth="1"/>
    <col min="1346" max="1346" width="9.140625" style="146" customWidth="1"/>
    <col min="1347" max="1347" width="3.140625" style="146" customWidth="1"/>
    <col min="1348" max="1348" width="13.85546875" style="146" customWidth="1"/>
    <col min="1349" max="1349" width="4.140625" style="146" customWidth="1"/>
    <col min="1350" max="1350" width="18.28515625" style="146" customWidth="1"/>
    <col min="1351" max="1351" width="1.5703125" style="146" customWidth="1"/>
    <col min="1352" max="1352" width="6" style="146" customWidth="1"/>
    <col min="1353" max="1353" width="2.5703125" style="146" customWidth="1"/>
    <col min="1354" max="1354" width="10.28515625" style="146" customWidth="1"/>
    <col min="1355" max="1355" width="5.42578125" style="146" customWidth="1"/>
    <col min="1356" max="1526" width="9.140625" style="146"/>
    <col min="1527" max="1527" width="2.28515625" style="146" customWidth="1"/>
    <col min="1528" max="1528" width="11" style="146" customWidth="1"/>
    <col min="1529" max="1529" width="13.140625" style="146" customWidth="1"/>
    <col min="1530" max="1530" width="12.140625" style="146" customWidth="1"/>
    <col min="1531" max="1531" width="7.42578125" style="146" customWidth="1"/>
    <col min="1532" max="1532" width="8.42578125" style="146" customWidth="1"/>
    <col min="1533" max="1533" width="8.140625" style="146" customWidth="1"/>
    <col min="1534" max="1534" width="5.85546875" style="146" customWidth="1"/>
    <col min="1535" max="1535" width="5.7109375" style="146" customWidth="1"/>
    <col min="1536" max="1536" width="8" style="146" customWidth="1"/>
    <col min="1537" max="1537" width="6.5703125" style="146" customWidth="1"/>
    <col min="1538" max="1538" width="6.85546875" style="146" customWidth="1"/>
    <col min="1539" max="1539" width="6.28515625" style="146" customWidth="1"/>
    <col min="1540" max="1540" width="6.5703125" style="146" customWidth="1"/>
    <col min="1541" max="1541" width="5.28515625" style="146" customWidth="1"/>
    <col min="1542" max="1542" width="6.140625" style="146" customWidth="1"/>
    <col min="1543" max="1544" width="5.42578125" style="146" customWidth="1"/>
    <col min="1545" max="1545" width="6.7109375" style="146" customWidth="1"/>
    <col min="1546" max="1546" width="6.5703125" style="146" customWidth="1"/>
    <col min="1547" max="1547" width="6.42578125" style="146" customWidth="1"/>
    <col min="1548" max="1548" width="6.5703125" style="146" customWidth="1"/>
    <col min="1549" max="1549" width="5.85546875" style="146" customWidth="1"/>
    <col min="1550" max="1550" width="6.28515625" style="146" customWidth="1"/>
    <col min="1551" max="1572" width="0" style="146" hidden="1" customWidth="1"/>
    <col min="1573" max="1573" width="0.7109375" style="146" customWidth="1"/>
    <col min="1574" max="1574" width="8.42578125" style="146" customWidth="1"/>
    <col min="1575" max="1576" width="0" style="146" hidden="1" customWidth="1"/>
    <col min="1577" max="1577" width="5" style="146" customWidth="1"/>
    <col min="1578" max="1578" width="7.42578125" style="146" customWidth="1"/>
    <col min="1579" max="1579" width="6.42578125" style="146" customWidth="1"/>
    <col min="1580" max="1580" width="6.140625" style="146" customWidth="1"/>
    <col min="1581" max="1581" width="0" style="146" hidden="1" customWidth="1"/>
    <col min="1582" max="1582" width="6.5703125" style="146" customWidth="1"/>
    <col min="1583" max="1584" width="7.5703125" style="146" customWidth="1"/>
    <col min="1585" max="1585" width="2.7109375" style="146" customWidth="1"/>
    <col min="1586" max="1586" width="15.140625" style="146" customWidth="1"/>
    <col min="1587" max="1587" width="2.7109375" style="146" customWidth="1"/>
    <col min="1588" max="1588" width="8.42578125" style="146" customWidth="1"/>
    <col min="1589" max="1589" width="2.7109375" style="146" customWidth="1"/>
    <col min="1590" max="1590" width="13.7109375" style="146" customWidth="1"/>
    <col min="1591" max="1591" width="2.7109375" style="146" customWidth="1"/>
    <col min="1592" max="1592" width="9.7109375" style="146" customWidth="1"/>
    <col min="1593" max="1593" width="2.7109375" style="146" customWidth="1"/>
    <col min="1594" max="1594" width="1" style="146" customWidth="1"/>
    <col min="1595" max="1595" width="6.7109375" style="146" customWidth="1"/>
    <col min="1596" max="1596" width="8.140625" style="146" customWidth="1"/>
    <col min="1597" max="1597" width="7.85546875" style="146" customWidth="1"/>
    <col min="1598" max="1598" width="8.28515625" style="146" customWidth="1"/>
    <col min="1599" max="1600" width="9.140625" style="146" customWidth="1"/>
    <col min="1601" max="1601" width="32.5703125" style="146" customWidth="1"/>
    <col min="1602" max="1602" width="9.140625" style="146" customWidth="1"/>
    <col min="1603" max="1603" width="3.140625" style="146" customWidth="1"/>
    <col min="1604" max="1604" width="13.85546875" style="146" customWidth="1"/>
    <col min="1605" max="1605" width="4.140625" style="146" customWidth="1"/>
    <col min="1606" max="1606" width="18.28515625" style="146" customWidth="1"/>
    <col min="1607" max="1607" width="1.5703125" style="146" customWidth="1"/>
    <col min="1608" max="1608" width="6" style="146" customWidth="1"/>
    <col min="1609" max="1609" width="2.5703125" style="146" customWidth="1"/>
    <col min="1610" max="1610" width="10.28515625" style="146" customWidth="1"/>
    <col min="1611" max="1611" width="5.42578125" style="146" customWidth="1"/>
    <col min="1612" max="1782" width="9.140625" style="146"/>
    <col min="1783" max="1783" width="2.28515625" style="146" customWidth="1"/>
    <col min="1784" max="1784" width="11" style="146" customWidth="1"/>
    <col min="1785" max="1785" width="13.140625" style="146" customWidth="1"/>
    <col min="1786" max="1786" width="12.140625" style="146" customWidth="1"/>
    <col min="1787" max="1787" width="7.42578125" style="146" customWidth="1"/>
    <col min="1788" max="1788" width="8.42578125" style="146" customWidth="1"/>
    <col min="1789" max="1789" width="8.140625" style="146" customWidth="1"/>
    <col min="1790" max="1790" width="5.85546875" style="146" customWidth="1"/>
    <col min="1791" max="1791" width="5.7109375" style="146" customWidth="1"/>
    <col min="1792" max="1792" width="8" style="146" customWidth="1"/>
    <col min="1793" max="1793" width="6.5703125" style="146" customWidth="1"/>
    <col min="1794" max="1794" width="6.85546875" style="146" customWidth="1"/>
    <col min="1795" max="1795" width="6.28515625" style="146" customWidth="1"/>
    <col min="1796" max="1796" width="6.5703125" style="146" customWidth="1"/>
    <col min="1797" max="1797" width="5.28515625" style="146" customWidth="1"/>
    <col min="1798" max="1798" width="6.140625" style="146" customWidth="1"/>
    <col min="1799" max="1800" width="5.42578125" style="146" customWidth="1"/>
    <col min="1801" max="1801" width="6.7109375" style="146" customWidth="1"/>
    <col min="1802" max="1802" width="6.5703125" style="146" customWidth="1"/>
    <col min="1803" max="1803" width="6.42578125" style="146" customWidth="1"/>
    <col min="1804" max="1804" width="6.5703125" style="146" customWidth="1"/>
    <col min="1805" max="1805" width="5.85546875" style="146" customWidth="1"/>
    <col min="1806" max="1806" width="6.28515625" style="146" customWidth="1"/>
    <col min="1807" max="1828" width="0" style="146" hidden="1" customWidth="1"/>
    <col min="1829" max="1829" width="0.7109375" style="146" customWidth="1"/>
    <col min="1830" max="1830" width="8.42578125" style="146" customWidth="1"/>
    <col min="1831" max="1832" width="0" style="146" hidden="1" customWidth="1"/>
    <col min="1833" max="1833" width="5" style="146" customWidth="1"/>
    <col min="1834" max="1834" width="7.42578125" style="146" customWidth="1"/>
    <col min="1835" max="1835" width="6.42578125" style="146" customWidth="1"/>
    <col min="1836" max="1836" width="6.140625" style="146" customWidth="1"/>
    <col min="1837" max="1837" width="0" style="146" hidden="1" customWidth="1"/>
    <col min="1838" max="1838" width="6.5703125" style="146" customWidth="1"/>
    <col min="1839" max="1840" width="7.5703125" style="146" customWidth="1"/>
    <col min="1841" max="1841" width="2.7109375" style="146" customWidth="1"/>
    <col min="1842" max="1842" width="15.140625" style="146" customWidth="1"/>
    <col min="1843" max="1843" width="2.7109375" style="146" customWidth="1"/>
    <col min="1844" max="1844" width="8.42578125" style="146" customWidth="1"/>
    <col min="1845" max="1845" width="2.7109375" style="146" customWidth="1"/>
    <col min="1846" max="1846" width="13.7109375" style="146" customWidth="1"/>
    <col min="1847" max="1847" width="2.7109375" style="146" customWidth="1"/>
    <col min="1848" max="1848" width="9.7109375" style="146" customWidth="1"/>
    <col min="1849" max="1849" width="2.7109375" style="146" customWidth="1"/>
    <col min="1850" max="1850" width="1" style="146" customWidth="1"/>
    <col min="1851" max="1851" width="6.7109375" style="146" customWidth="1"/>
    <col min="1852" max="1852" width="8.140625" style="146" customWidth="1"/>
    <col min="1853" max="1853" width="7.85546875" style="146" customWidth="1"/>
    <col min="1854" max="1854" width="8.28515625" style="146" customWidth="1"/>
    <col min="1855" max="1856" width="9.140625" style="146" customWidth="1"/>
    <col min="1857" max="1857" width="32.5703125" style="146" customWidth="1"/>
    <col min="1858" max="1858" width="9.140625" style="146" customWidth="1"/>
    <col min="1859" max="1859" width="3.140625" style="146" customWidth="1"/>
    <col min="1860" max="1860" width="13.85546875" style="146" customWidth="1"/>
    <col min="1861" max="1861" width="4.140625" style="146" customWidth="1"/>
    <col min="1862" max="1862" width="18.28515625" style="146" customWidth="1"/>
    <col min="1863" max="1863" width="1.5703125" style="146" customWidth="1"/>
    <col min="1864" max="1864" width="6" style="146" customWidth="1"/>
    <col min="1865" max="1865" width="2.5703125" style="146" customWidth="1"/>
    <col min="1866" max="1866" width="10.28515625" style="146" customWidth="1"/>
    <col min="1867" max="1867" width="5.42578125" style="146" customWidth="1"/>
    <col min="1868" max="2038" width="9.140625" style="146"/>
    <col min="2039" max="2039" width="2.28515625" style="146" customWidth="1"/>
    <col min="2040" max="2040" width="11" style="146" customWidth="1"/>
    <col min="2041" max="2041" width="13.140625" style="146" customWidth="1"/>
    <col min="2042" max="2042" width="12.140625" style="146" customWidth="1"/>
    <col min="2043" max="2043" width="7.42578125" style="146" customWidth="1"/>
    <col min="2044" max="2044" width="8.42578125" style="146" customWidth="1"/>
    <col min="2045" max="2045" width="8.140625" style="146" customWidth="1"/>
    <col min="2046" max="2046" width="5.85546875" style="146" customWidth="1"/>
    <col min="2047" max="2047" width="5.7109375" style="146" customWidth="1"/>
    <col min="2048" max="2048" width="8" style="146" customWidth="1"/>
    <col min="2049" max="2049" width="6.5703125" style="146" customWidth="1"/>
    <col min="2050" max="2050" width="6.85546875" style="146" customWidth="1"/>
    <col min="2051" max="2051" width="6.28515625" style="146" customWidth="1"/>
    <col min="2052" max="2052" width="6.5703125" style="146" customWidth="1"/>
    <col min="2053" max="2053" width="5.28515625" style="146" customWidth="1"/>
    <col min="2054" max="2054" width="6.140625" style="146" customWidth="1"/>
    <col min="2055" max="2056" width="5.42578125" style="146" customWidth="1"/>
    <col min="2057" max="2057" width="6.7109375" style="146" customWidth="1"/>
    <col min="2058" max="2058" width="6.5703125" style="146" customWidth="1"/>
    <col min="2059" max="2059" width="6.42578125" style="146" customWidth="1"/>
    <col min="2060" max="2060" width="6.5703125" style="146" customWidth="1"/>
    <col min="2061" max="2061" width="5.85546875" style="146" customWidth="1"/>
    <col min="2062" max="2062" width="6.28515625" style="146" customWidth="1"/>
    <col min="2063" max="2084" width="0" style="146" hidden="1" customWidth="1"/>
    <col min="2085" max="2085" width="0.7109375" style="146" customWidth="1"/>
    <col min="2086" max="2086" width="8.42578125" style="146" customWidth="1"/>
    <col min="2087" max="2088" width="0" style="146" hidden="1" customWidth="1"/>
    <col min="2089" max="2089" width="5" style="146" customWidth="1"/>
    <col min="2090" max="2090" width="7.42578125" style="146" customWidth="1"/>
    <col min="2091" max="2091" width="6.42578125" style="146" customWidth="1"/>
    <col min="2092" max="2092" width="6.140625" style="146" customWidth="1"/>
    <col min="2093" max="2093" width="0" style="146" hidden="1" customWidth="1"/>
    <col min="2094" max="2094" width="6.5703125" style="146" customWidth="1"/>
    <col min="2095" max="2096" width="7.5703125" style="146" customWidth="1"/>
    <col min="2097" max="2097" width="2.7109375" style="146" customWidth="1"/>
    <col min="2098" max="2098" width="15.140625" style="146" customWidth="1"/>
    <col min="2099" max="2099" width="2.7109375" style="146" customWidth="1"/>
    <col min="2100" max="2100" width="8.42578125" style="146" customWidth="1"/>
    <col min="2101" max="2101" width="2.7109375" style="146" customWidth="1"/>
    <col min="2102" max="2102" width="13.7109375" style="146" customWidth="1"/>
    <col min="2103" max="2103" width="2.7109375" style="146" customWidth="1"/>
    <col min="2104" max="2104" width="9.7109375" style="146" customWidth="1"/>
    <col min="2105" max="2105" width="2.7109375" style="146" customWidth="1"/>
    <col min="2106" max="2106" width="1" style="146" customWidth="1"/>
    <col min="2107" max="2107" width="6.7109375" style="146" customWidth="1"/>
    <col min="2108" max="2108" width="8.140625" style="146" customWidth="1"/>
    <col min="2109" max="2109" width="7.85546875" style="146" customWidth="1"/>
    <col min="2110" max="2110" width="8.28515625" style="146" customWidth="1"/>
    <col min="2111" max="2112" width="9.140625" style="146" customWidth="1"/>
    <col min="2113" max="2113" width="32.5703125" style="146" customWidth="1"/>
    <col min="2114" max="2114" width="9.140625" style="146" customWidth="1"/>
    <col min="2115" max="2115" width="3.140625" style="146" customWidth="1"/>
    <col min="2116" max="2116" width="13.85546875" style="146" customWidth="1"/>
    <col min="2117" max="2117" width="4.140625" style="146" customWidth="1"/>
    <col min="2118" max="2118" width="18.28515625" style="146" customWidth="1"/>
    <col min="2119" max="2119" width="1.5703125" style="146" customWidth="1"/>
    <col min="2120" max="2120" width="6" style="146" customWidth="1"/>
    <col min="2121" max="2121" width="2.5703125" style="146" customWidth="1"/>
    <col min="2122" max="2122" width="10.28515625" style="146" customWidth="1"/>
    <col min="2123" max="2123" width="5.42578125" style="146" customWidth="1"/>
    <col min="2124" max="2294" width="9.140625" style="146"/>
    <col min="2295" max="2295" width="2.28515625" style="146" customWidth="1"/>
    <col min="2296" max="2296" width="11" style="146" customWidth="1"/>
    <col min="2297" max="2297" width="13.140625" style="146" customWidth="1"/>
    <col min="2298" max="2298" width="12.140625" style="146" customWidth="1"/>
    <col min="2299" max="2299" width="7.42578125" style="146" customWidth="1"/>
    <col min="2300" max="2300" width="8.42578125" style="146" customWidth="1"/>
    <col min="2301" max="2301" width="8.140625" style="146" customWidth="1"/>
    <col min="2302" max="2302" width="5.85546875" style="146" customWidth="1"/>
    <col min="2303" max="2303" width="5.7109375" style="146" customWidth="1"/>
    <col min="2304" max="2304" width="8" style="146" customWidth="1"/>
    <col min="2305" max="2305" width="6.5703125" style="146" customWidth="1"/>
    <col min="2306" max="2306" width="6.85546875" style="146" customWidth="1"/>
    <col min="2307" max="2307" width="6.28515625" style="146" customWidth="1"/>
    <col min="2308" max="2308" width="6.5703125" style="146" customWidth="1"/>
    <col min="2309" max="2309" width="5.28515625" style="146" customWidth="1"/>
    <col min="2310" max="2310" width="6.140625" style="146" customWidth="1"/>
    <col min="2311" max="2312" width="5.42578125" style="146" customWidth="1"/>
    <col min="2313" max="2313" width="6.7109375" style="146" customWidth="1"/>
    <col min="2314" max="2314" width="6.5703125" style="146" customWidth="1"/>
    <col min="2315" max="2315" width="6.42578125" style="146" customWidth="1"/>
    <col min="2316" max="2316" width="6.5703125" style="146" customWidth="1"/>
    <col min="2317" max="2317" width="5.85546875" style="146" customWidth="1"/>
    <col min="2318" max="2318" width="6.28515625" style="146" customWidth="1"/>
    <col min="2319" max="2340" width="0" style="146" hidden="1" customWidth="1"/>
    <col min="2341" max="2341" width="0.7109375" style="146" customWidth="1"/>
    <col min="2342" max="2342" width="8.42578125" style="146" customWidth="1"/>
    <col min="2343" max="2344" width="0" style="146" hidden="1" customWidth="1"/>
    <col min="2345" max="2345" width="5" style="146" customWidth="1"/>
    <col min="2346" max="2346" width="7.42578125" style="146" customWidth="1"/>
    <col min="2347" max="2347" width="6.42578125" style="146" customWidth="1"/>
    <col min="2348" max="2348" width="6.140625" style="146" customWidth="1"/>
    <col min="2349" max="2349" width="0" style="146" hidden="1" customWidth="1"/>
    <col min="2350" max="2350" width="6.5703125" style="146" customWidth="1"/>
    <col min="2351" max="2352" width="7.5703125" style="146" customWidth="1"/>
    <col min="2353" max="2353" width="2.7109375" style="146" customWidth="1"/>
    <col min="2354" max="2354" width="15.140625" style="146" customWidth="1"/>
    <col min="2355" max="2355" width="2.7109375" style="146" customWidth="1"/>
    <col min="2356" max="2356" width="8.42578125" style="146" customWidth="1"/>
    <col min="2357" max="2357" width="2.7109375" style="146" customWidth="1"/>
    <col min="2358" max="2358" width="13.7109375" style="146" customWidth="1"/>
    <col min="2359" max="2359" width="2.7109375" style="146" customWidth="1"/>
    <col min="2360" max="2360" width="9.7109375" style="146" customWidth="1"/>
    <col min="2361" max="2361" width="2.7109375" style="146" customWidth="1"/>
    <col min="2362" max="2362" width="1" style="146" customWidth="1"/>
    <col min="2363" max="2363" width="6.7109375" style="146" customWidth="1"/>
    <col min="2364" max="2364" width="8.140625" style="146" customWidth="1"/>
    <col min="2365" max="2365" width="7.85546875" style="146" customWidth="1"/>
    <col min="2366" max="2366" width="8.28515625" style="146" customWidth="1"/>
    <col min="2367" max="2368" width="9.140625" style="146" customWidth="1"/>
    <col min="2369" max="2369" width="32.5703125" style="146" customWidth="1"/>
    <col min="2370" max="2370" width="9.140625" style="146" customWidth="1"/>
    <col min="2371" max="2371" width="3.140625" style="146" customWidth="1"/>
    <col min="2372" max="2372" width="13.85546875" style="146" customWidth="1"/>
    <col min="2373" max="2373" width="4.140625" style="146" customWidth="1"/>
    <col min="2374" max="2374" width="18.28515625" style="146" customWidth="1"/>
    <col min="2375" max="2375" width="1.5703125" style="146" customWidth="1"/>
    <col min="2376" max="2376" width="6" style="146" customWidth="1"/>
    <col min="2377" max="2377" width="2.5703125" style="146" customWidth="1"/>
    <col min="2378" max="2378" width="10.28515625" style="146" customWidth="1"/>
    <col min="2379" max="2379" width="5.42578125" style="146" customWidth="1"/>
    <col min="2380" max="2550" width="9.140625" style="146"/>
    <col min="2551" max="2551" width="2.28515625" style="146" customWidth="1"/>
    <col min="2552" max="2552" width="11" style="146" customWidth="1"/>
    <col min="2553" max="2553" width="13.140625" style="146" customWidth="1"/>
    <col min="2554" max="2554" width="12.140625" style="146" customWidth="1"/>
    <col min="2555" max="2555" width="7.42578125" style="146" customWidth="1"/>
    <col min="2556" max="2556" width="8.42578125" style="146" customWidth="1"/>
    <col min="2557" max="2557" width="8.140625" style="146" customWidth="1"/>
    <col min="2558" max="2558" width="5.85546875" style="146" customWidth="1"/>
    <col min="2559" max="2559" width="5.7109375" style="146" customWidth="1"/>
    <col min="2560" max="2560" width="8" style="146" customWidth="1"/>
    <col min="2561" max="2561" width="6.5703125" style="146" customWidth="1"/>
    <col min="2562" max="2562" width="6.85546875" style="146" customWidth="1"/>
    <col min="2563" max="2563" width="6.28515625" style="146" customWidth="1"/>
    <col min="2564" max="2564" width="6.5703125" style="146" customWidth="1"/>
    <col min="2565" max="2565" width="5.28515625" style="146" customWidth="1"/>
    <col min="2566" max="2566" width="6.140625" style="146" customWidth="1"/>
    <col min="2567" max="2568" width="5.42578125" style="146" customWidth="1"/>
    <col min="2569" max="2569" width="6.7109375" style="146" customWidth="1"/>
    <col min="2570" max="2570" width="6.5703125" style="146" customWidth="1"/>
    <col min="2571" max="2571" width="6.42578125" style="146" customWidth="1"/>
    <col min="2572" max="2572" width="6.5703125" style="146" customWidth="1"/>
    <col min="2573" max="2573" width="5.85546875" style="146" customWidth="1"/>
    <col min="2574" max="2574" width="6.28515625" style="146" customWidth="1"/>
    <col min="2575" max="2596" width="0" style="146" hidden="1" customWidth="1"/>
    <col min="2597" max="2597" width="0.7109375" style="146" customWidth="1"/>
    <col min="2598" max="2598" width="8.42578125" style="146" customWidth="1"/>
    <col min="2599" max="2600" width="0" style="146" hidden="1" customWidth="1"/>
    <col min="2601" max="2601" width="5" style="146" customWidth="1"/>
    <col min="2602" max="2602" width="7.42578125" style="146" customWidth="1"/>
    <col min="2603" max="2603" width="6.42578125" style="146" customWidth="1"/>
    <col min="2604" max="2604" width="6.140625" style="146" customWidth="1"/>
    <col min="2605" max="2605" width="0" style="146" hidden="1" customWidth="1"/>
    <col min="2606" max="2606" width="6.5703125" style="146" customWidth="1"/>
    <col min="2607" max="2608" width="7.5703125" style="146" customWidth="1"/>
    <col min="2609" max="2609" width="2.7109375" style="146" customWidth="1"/>
    <col min="2610" max="2610" width="15.140625" style="146" customWidth="1"/>
    <col min="2611" max="2611" width="2.7109375" style="146" customWidth="1"/>
    <col min="2612" max="2612" width="8.42578125" style="146" customWidth="1"/>
    <col min="2613" max="2613" width="2.7109375" style="146" customWidth="1"/>
    <col min="2614" max="2614" width="13.7109375" style="146" customWidth="1"/>
    <col min="2615" max="2615" width="2.7109375" style="146" customWidth="1"/>
    <col min="2616" max="2616" width="9.7109375" style="146" customWidth="1"/>
    <col min="2617" max="2617" width="2.7109375" style="146" customWidth="1"/>
    <col min="2618" max="2618" width="1" style="146" customWidth="1"/>
    <col min="2619" max="2619" width="6.7109375" style="146" customWidth="1"/>
    <col min="2620" max="2620" width="8.140625" style="146" customWidth="1"/>
    <col min="2621" max="2621" width="7.85546875" style="146" customWidth="1"/>
    <col min="2622" max="2622" width="8.28515625" style="146" customWidth="1"/>
    <col min="2623" max="2624" width="9.140625" style="146" customWidth="1"/>
    <col min="2625" max="2625" width="32.5703125" style="146" customWidth="1"/>
    <col min="2626" max="2626" width="9.140625" style="146" customWidth="1"/>
    <col min="2627" max="2627" width="3.140625" style="146" customWidth="1"/>
    <col min="2628" max="2628" width="13.85546875" style="146" customWidth="1"/>
    <col min="2629" max="2629" width="4.140625" style="146" customWidth="1"/>
    <col min="2630" max="2630" width="18.28515625" style="146" customWidth="1"/>
    <col min="2631" max="2631" width="1.5703125" style="146" customWidth="1"/>
    <col min="2632" max="2632" width="6" style="146" customWidth="1"/>
    <col min="2633" max="2633" width="2.5703125" style="146" customWidth="1"/>
    <col min="2634" max="2634" width="10.28515625" style="146" customWidth="1"/>
    <col min="2635" max="2635" width="5.42578125" style="146" customWidth="1"/>
    <col min="2636" max="2806" width="9.140625" style="146"/>
    <col min="2807" max="2807" width="2.28515625" style="146" customWidth="1"/>
    <col min="2808" max="2808" width="11" style="146" customWidth="1"/>
    <col min="2809" max="2809" width="13.140625" style="146" customWidth="1"/>
    <col min="2810" max="2810" width="12.140625" style="146" customWidth="1"/>
    <col min="2811" max="2811" width="7.42578125" style="146" customWidth="1"/>
    <col min="2812" max="2812" width="8.42578125" style="146" customWidth="1"/>
    <col min="2813" max="2813" width="8.140625" style="146" customWidth="1"/>
    <col min="2814" max="2814" width="5.85546875" style="146" customWidth="1"/>
    <col min="2815" max="2815" width="5.7109375" style="146" customWidth="1"/>
    <col min="2816" max="2816" width="8" style="146" customWidth="1"/>
    <col min="2817" max="2817" width="6.5703125" style="146" customWidth="1"/>
    <col min="2818" max="2818" width="6.85546875" style="146" customWidth="1"/>
    <col min="2819" max="2819" width="6.28515625" style="146" customWidth="1"/>
    <col min="2820" max="2820" width="6.5703125" style="146" customWidth="1"/>
    <col min="2821" max="2821" width="5.28515625" style="146" customWidth="1"/>
    <col min="2822" max="2822" width="6.140625" style="146" customWidth="1"/>
    <col min="2823" max="2824" width="5.42578125" style="146" customWidth="1"/>
    <col min="2825" max="2825" width="6.7109375" style="146" customWidth="1"/>
    <col min="2826" max="2826" width="6.5703125" style="146" customWidth="1"/>
    <col min="2827" max="2827" width="6.42578125" style="146" customWidth="1"/>
    <col min="2828" max="2828" width="6.5703125" style="146" customWidth="1"/>
    <col min="2829" max="2829" width="5.85546875" style="146" customWidth="1"/>
    <col min="2830" max="2830" width="6.28515625" style="146" customWidth="1"/>
    <col min="2831" max="2852" width="0" style="146" hidden="1" customWidth="1"/>
    <col min="2853" max="2853" width="0.7109375" style="146" customWidth="1"/>
    <col min="2854" max="2854" width="8.42578125" style="146" customWidth="1"/>
    <col min="2855" max="2856" width="0" style="146" hidden="1" customWidth="1"/>
    <col min="2857" max="2857" width="5" style="146" customWidth="1"/>
    <col min="2858" max="2858" width="7.42578125" style="146" customWidth="1"/>
    <col min="2859" max="2859" width="6.42578125" style="146" customWidth="1"/>
    <col min="2860" max="2860" width="6.140625" style="146" customWidth="1"/>
    <col min="2861" max="2861" width="0" style="146" hidden="1" customWidth="1"/>
    <col min="2862" max="2862" width="6.5703125" style="146" customWidth="1"/>
    <col min="2863" max="2864" width="7.5703125" style="146" customWidth="1"/>
    <col min="2865" max="2865" width="2.7109375" style="146" customWidth="1"/>
    <col min="2866" max="2866" width="15.140625" style="146" customWidth="1"/>
    <col min="2867" max="2867" width="2.7109375" style="146" customWidth="1"/>
    <col min="2868" max="2868" width="8.42578125" style="146" customWidth="1"/>
    <col min="2869" max="2869" width="2.7109375" style="146" customWidth="1"/>
    <col min="2870" max="2870" width="13.7109375" style="146" customWidth="1"/>
    <col min="2871" max="2871" width="2.7109375" style="146" customWidth="1"/>
    <col min="2872" max="2872" width="9.7109375" style="146" customWidth="1"/>
    <col min="2873" max="2873" width="2.7109375" style="146" customWidth="1"/>
    <col min="2874" max="2874" width="1" style="146" customWidth="1"/>
    <col min="2875" max="2875" width="6.7109375" style="146" customWidth="1"/>
    <col min="2876" max="2876" width="8.140625" style="146" customWidth="1"/>
    <col min="2877" max="2877" width="7.85546875" style="146" customWidth="1"/>
    <col min="2878" max="2878" width="8.28515625" style="146" customWidth="1"/>
    <col min="2879" max="2880" width="9.140625" style="146" customWidth="1"/>
    <col min="2881" max="2881" width="32.5703125" style="146" customWidth="1"/>
    <col min="2882" max="2882" width="9.140625" style="146" customWidth="1"/>
    <col min="2883" max="2883" width="3.140625" style="146" customWidth="1"/>
    <col min="2884" max="2884" width="13.85546875" style="146" customWidth="1"/>
    <col min="2885" max="2885" width="4.140625" style="146" customWidth="1"/>
    <col min="2886" max="2886" width="18.28515625" style="146" customWidth="1"/>
    <col min="2887" max="2887" width="1.5703125" style="146" customWidth="1"/>
    <col min="2888" max="2888" width="6" style="146" customWidth="1"/>
    <col min="2889" max="2889" width="2.5703125" style="146" customWidth="1"/>
    <col min="2890" max="2890" width="10.28515625" style="146" customWidth="1"/>
    <col min="2891" max="2891" width="5.42578125" style="146" customWidth="1"/>
    <col min="2892" max="3062" width="9.140625" style="146"/>
    <col min="3063" max="3063" width="2.28515625" style="146" customWidth="1"/>
    <col min="3064" max="3064" width="11" style="146" customWidth="1"/>
    <col min="3065" max="3065" width="13.140625" style="146" customWidth="1"/>
    <col min="3066" max="3066" width="12.140625" style="146" customWidth="1"/>
    <col min="3067" max="3067" width="7.42578125" style="146" customWidth="1"/>
    <col min="3068" max="3068" width="8.42578125" style="146" customWidth="1"/>
    <col min="3069" max="3069" width="8.140625" style="146" customWidth="1"/>
    <col min="3070" max="3070" width="5.85546875" style="146" customWidth="1"/>
    <col min="3071" max="3071" width="5.7109375" style="146" customWidth="1"/>
    <col min="3072" max="3072" width="8" style="146" customWidth="1"/>
    <col min="3073" max="3073" width="6.5703125" style="146" customWidth="1"/>
    <col min="3074" max="3074" width="6.85546875" style="146" customWidth="1"/>
    <col min="3075" max="3075" width="6.28515625" style="146" customWidth="1"/>
    <col min="3076" max="3076" width="6.5703125" style="146" customWidth="1"/>
    <col min="3077" max="3077" width="5.28515625" style="146" customWidth="1"/>
    <col min="3078" max="3078" width="6.140625" style="146" customWidth="1"/>
    <col min="3079" max="3080" width="5.42578125" style="146" customWidth="1"/>
    <col min="3081" max="3081" width="6.7109375" style="146" customWidth="1"/>
    <col min="3082" max="3082" width="6.5703125" style="146" customWidth="1"/>
    <col min="3083" max="3083" width="6.42578125" style="146" customWidth="1"/>
    <col min="3084" max="3084" width="6.5703125" style="146" customWidth="1"/>
    <col min="3085" max="3085" width="5.85546875" style="146" customWidth="1"/>
    <col min="3086" max="3086" width="6.28515625" style="146" customWidth="1"/>
    <col min="3087" max="3108" width="0" style="146" hidden="1" customWidth="1"/>
    <col min="3109" max="3109" width="0.7109375" style="146" customWidth="1"/>
    <col min="3110" max="3110" width="8.42578125" style="146" customWidth="1"/>
    <col min="3111" max="3112" width="0" style="146" hidden="1" customWidth="1"/>
    <col min="3113" max="3113" width="5" style="146" customWidth="1"/>
    <col min="3114" max="3114" width="7.42578125" style="146" customWidth="1"/>
    <col min="3115" max="3115" width="6.42578125" style="146" customWidth="1"/>
    <col min="3116" max="3116" width="6.140625" style="146" customWidth="1"/>
    <col min="3117" max="3117" width="0" style="146" hidden="1" customWidth="1"/>
    <col min="3118" max="3118" width="6.5703125" style="146" customWidth="1"/>
    <col min="3119" max="3120" width="7.5703125" style="146" customWidth="1"/>
    <col min="3121" max="3121" width="2.7109375" style="146" customWidth="1"/>
    <col min="3122" max="3122" width="15.140625" style="146" customWidth="1"/>
    <col min="3123" max="3123" width="2.7109375" style="146" customWidth="1"/>
    <col min="3124" max="3124" width="8.42578125" style="146" customWidth="1"/>
    <col min="3125" max="3125" width="2.7109375" style="146" customWidth="1"/>
    <col min="3126" max="3126" width="13.7109375" style="146" customWidth="1"/>
    <col min="3127" max="3127" width="2.7109375" style="146" customWidth="1"/>
    <col min="3128" max="3128" width="9.7109375" style="146" customWidth="1"/>
    <col min="3129" max="3129" width="2.7109375" style="146" customWidth="1"/>
    <col min="3130" max="3130" width="1" style="146" customWidth="1"/>
    <col min="3131" max="3131" width="6.7109375" style="146" customWidth="1"/>
    <col min="3132" max="3132" width="8.140625" style="146" customWidth="1"/>
    <col min="3133" max="3133" width="7.85546875" style="146" customWidth="1"/>
    <col min="3134" max="3134" width="8.28515625" style="146" customWidth="1"/>
    <col min="3135" max="3136" width="9.140625" style="146" customWidth="1"/>
    <col min="3137" max="3137" width="32.5703125" style="146" customWidth="1"/>
    <col min="3138" max="3138" width="9.140625" style="146" customWidth="1"/>
    <col min="3139" max="3139" width="3.140625" style="146" customWidth="1"/>
    <col min="3140" max="3140" width="13.85546875" style="146" customWidth="1"/>
    <col min="3141" max="3141" width="4.140625" style="146" customWidth="1"/>
    <col min="3142" max="3142" width="18.28515625" style="146" customWidth="1"/>
    <col min="3143" max="3143" width="1.5703125" style="146" customWidth="1"/>
    <col min="3144" max="3144" width="6" style="146" customWidth="1"/>
    <col min="3145" max="3145" width="2.5703125" style="146" customWidth="1"/>
    <col min="3146" max="3146" width="10.28515625" style="146" customWidth="1"/>
    <col min="3147" max="3147" width="5.42578125" style="146" customWidth="1"/>
    <col min="3148" max="3318" width="9.140625" style="146"/>
    <col min="3319" max="3319" width="2.28515625" style="146" customWidth="1"/>
    <col min="3320" max="3320" width="11" style="146" customWidth="1"/>
    <col min="3321" max="3321" width="13.140625" style="146" customWidth="1"/>
    <col min="3322" max="3322" width="12.140625" style="146" customWidth="1"/>
    <col min="3323" max="3323" width="7.42578125" style="146" customWidth="1"/>
    <col min="3324" max="3324" width="8.42578125" style="146" customWidth="1"/>
    <col min="3325" max="3325" width="8.140625" style="146" customWidth="1"/>
    <col min="3326" max="3326" width="5.85546875" style="146" customWidth="1"/>
    <col min="3327" max="3327" width="5.7109375" style="146" customWidth="1"/>
    <col min="3328" max="3328" width="8" style="146" customWidth="1"/>
    <col min="3329" max="3329" width="6.5703125" style="146" customWidth="1"/>
    <col min="3330" max="3330" width="6.85546875" style="146" customWidth="1"/>
    <col min="3331" max="3331" width="6.28515625" style="146" customWidth="1"/>
    <col min="3332" max="3332" width="6.5703125" style="146" customWidth="1"/>
    <col min="3333" max="3333" width="5.28515625" style="146" customWidth="1"/>
    <col min="3334" max="3334" width="6.140625" style="146" customWidth="1"/>
    <col min="3335" max="3336" width="5.42578125" style="146" customWidth="1"/>
    <col min="3337" max="3337" width="6.7109375" style="146" customWidth="1"/>
    <col min="3338" max="3338" width="6.5703125" style="146" customWidth="1"/>
    <col min="3339" max="3339" width="6.42578125" style="146" customWidth="1"/>
    <col min="3340" max="3340" width="6.5703125" style="146" customWidth="1"/>
    <col min="3341" max="3341" width="5.85546875" style="146" customWidth="1"/>
    <col min="3342" max="3342" width="6.28515625" style="146" customWidth="1"/>
    <col min="3343" max="3364" width="0" style="146" hidden="1" customWidth="1"/>
    <col min="3365" max="3365" width="0.7109375" style="146" customWidth="1"/>
    <col min="3366" max="3366" width="8.42578125" style="146" customWidth="1"/>
    <col min="3367" max="3368" width="0" style="146" hidden="1" customWidth="1"/>
    <col min="3369" max="3369" width="5" style="146" customWidth="1"/>
    <col min="3370" max="3370" width="7.42578125" style="146" customWidth="1"/>
    <col min="3371" max="3371" width="6.42578125" style="146" customWidth="1"/>
    <col min="3372" max="3372" width="6.140625" style="146" customWidth="1"/>
    <col min="3373" max="3373" width="0" style="146" hidden="1" customWidth="1"/>
    <col min="3374" max="3374" width="6.5703125" style="146" customWidth="1"/>
    <col min="3375" max="3376" width="7.5703125" style="146" customWidth="1"/>
    <col min="3377" max="3377" width="2.7109375" style="146" customWidth="1"/>
    <col min="3378" max="3378" width="15.140625" style="146" customWidth="1"/>
    <col min="3379" max="3379" width="2.7109375" style="146" customWidth="1"/>
    <col min="3380" max="3380" width="8.42578125" style="146" customWidth="1"/>
    <col min="3381" max="3381" width="2.7109375" style="146" customWidth="1"/>
    <col min="3382" max="3382" width="13.7109375" style="146" customWidth="1"/>
    <col min="3383" max="3383" width="2.7109375" style="146" customWidth="1"/>
    <col min="3384" max="3384" width="9.7109375" style="146" customWidth="1"/>
    <col min="3385" max="3385" width="2.7109375" style="146" customWidth="1"/>
    <col min="3386" max="3386" width="1" style="146" customWidth="1"/>
    <col min="3387" max="3387" width="6.7109375" style="146" customWidth="1"/>
    <col min="3388" max="3388" width="8.140625" style="146" customWidth="1"/>
    <col min="3389" max="3389" width="7.85546875" style="146" customWidth="1"/>
    <col min="3390" max="3390" width="8.28515625" style="146" customWidth="1"/>
    <col min="3391" max="3392" width="9.140625" style="146" customWidth="1"/>
    <col min="3393" max="3393" width="32.5703125" style="146" customWidth="1"/>
    <col min="3394" max="3394" width="9.140625" style="146" customWidth="1"/>
    <col min="3395" max="3395" width="3.140625" style="146" customWidth="1"/>
    <col min="3396" max="3396" width="13.85546875" style="146" customWidth="1"/>
    <col min="3397" max="3397" width="4.140625" style="146" customWidth="1"/>
    <col min="3398" max="3398" width="18.28515625" style="146" customWidth="1"/>
    <col min="3399" max="3399" width="1.5703125" style="146" customWidth="1"/>
    <col min="3400" max="3400" width="6" style="146" customWidth="1"/>
    <col min="3401" max="3401" width="2.5703125" style="146" customWidth="1"/>
    <col min="3402" max="3402" width="10.28515625" style="146" customWidth="1"/>
    <col min="3403" max="3403" width="5.42578125" style="146" customWidth="1"/>
    <col min="3404" max="3574" width="9.140625" style="146"/>
    <col min="3575" max="3575" width="2.28515625" style="146" customWidth="1"/>
    <col min="3576" max="3576" width="11" style="146" customWidth="1"/>
    <col min="3577" max="3577" width="13.140625" style="146" customWidth="1"/>
    <col min="3578" max="3578" width="12.140625" style="146" customWidth="1"/>
    <col min="3579" max="3579" width="7.42578125" style="146" customWidth="1"/>
    <col min="3580" max="3580" width="8.42578125" style="146" customWidth="1"/>
    <col min="3581" max="3581" width="8.140625" style="146" customWidth="1"/>
    <col min="3582" max="3582" width="5.85546875" style="146" customWidth="1"/>
    <col min="3583" max="3583" width="5.7109375" style="146" customWidth="1"/>
    <col min="3584" max="3584" width="8" style="146" customWidth="1"/>
    <col min="3585" max="3585" width="6.5703125" style="146" customWidth="1"/>
    <col min="3586" max="3586" width="6.85546875" style="146" customWidth="1"/>
    <col min="3587" max="3587" width="6.28515625" style="146" customWidth="1"/>
    <col min="3588" max="3588" width="6.5703125" style="146" customWidth="1"/>
    <col min="3589" max="3589" width="5.28515625" style="146" customWidth="1"/>
    <col min="3590" max="3590" width="6.140625" style="146" customWidth="1"/>
    <col min="3591" max="3592" width="5.42578125" style="146" customWidth="1"/>
    <col min="3593" max="3593" width="6.7109375" style="146" customWidth="1"/>
    <col min="3594" max="3594" width="6.5703125" style="146" customWidth="1"/>
    <col min="3595" max="3595" width="6.42578125" style="146" customWidth="1"/>
    <col min="3596" max="3596" width="6.5703125" style="146" customWidth="1"/>
    <col min="3597" max="3597" width="5.85546875" style="146" customWidth="1"/>
    <col min="3598" max="3598" width="6.28515625" style="146" customWidth="1"/>
    <col min="3599" max="3620" width="0" style="146" hidden="1" customWidth="1"/>
    <col min="3621" max="3621" width="0.7109375" style="146" customWidth="1"/>
    <col min="3622" max="3622" width="8.42578125" style="146" customWidth="1"/>
    <col min="3623" max="3624" width="0" style="146" hidden="1" customWidth="1"/>
    <col min="3625" max="3625" width="5" style="146" customWidth="1"/>
    <col min="3626" max="3626" width="7.42578125" style="146" customWidth="1"/>
    <col min="3627" max="3627" width="6.42578125" style="146" customWidth="1"/>
    <col min="3628" max="3628" width="6.140625" style="146" customWidth="1"/>
    <col min="3629" max="3629" width="0" style="146" hidden="1" customWidth="1"/>
    <col min="3630" max="3630" width="6.5703125" style="146" customWidth="1"/>
    <col min="3631" max="3632" width="7.5703125" style="146" customWidth="1"/>
    <col min="3633" max="3633" width="2.7109375" style="146" customWidth="1"/>
    <col min="3634" max="3634" width="15.140625" style="146" customWidth="1"/>
    <col min="3635" max="3635" width="2.7109375" style="146" customWidth="1"/>
    <col min="3636" max="3636" width="8.42578125" style="146" customWidth="1"/>
    <col min="3637" max="3637" width="2.7109375" style="146" customWidth="1"/>
    <col min="3638" max="3638" width="13.7109375" style="146" customWidth="1"/>
    <col min="3639" max="3639" width="2.7109375" style="146" customWidth="1"/>
    <col min="3640" max="3640" width="9.7109375" style="146" customWidth="1"/>
    <col min="3641" max="3641" width="2.7109375" style="146" customWidth="1"/>
    <col min="3642" max="3642" width="1" style="146" customWidth="1"/>
    <col min="3643" max="3643" width="6.7109375" style="146" customWidth="1"/>
    <col min="3644" max="3644" width="8.140625" style="146" customWidth="1"/>
    <col min="3645" max="3645" width="7.85546875" style="146" customWidth="1"/>
    <col min="3646" max="3646" width="8.28515625" style="146" customWidth="1"/>
    <col min="3647" max="3648" width="9.140625" style="146" customWidth="1"/>
    <col min="3649" max="3649" width="32.5703125" style="146" customWidth="1"/>
    <col min="3650" max="3650" width="9.140625" style="146" customWidth="1"/>
    <col min="3651" max="3651" width="3.140625" style="146" customWidth="1"/>
    <col min="3652" max="3652" width="13.85546875" style="146" customWidth="1"/>
    <col min="3653" max="3653" width="4.140625" style="146" customWidth="1"/>
    <col min="3654" max="3654" width="18.28515625" style="146" customWidth="1"/>
    <col min="3655" max="3655" width="1.5703125" style="146" customWidth="1"/>
    <col min="3656" max="3656" width="6" style="146" customWidth="1"/>
    <col min="3657" max="3657" width="2.5703125" style="146" customWidth="1"/>
    <col min="3658" max="3658" width="10.28515625" style="146" customWidth="1"/>
    <col min="3659" max="3659" width="5.42578125" style="146" customWidth="1"/>
    <col min="3660" max="3830" width="9.140625" style="146"/>
    <col min="3831" max="3831" width="2.28515625" style="146" customWidth="1"/>
    <col min="3832" max="3832" width="11" style="146" customWidth="1"/>
    <col min="3833" max="3833" width="13.140625" style="146" customWidth="1"/>
    <col min="3834" max="3834" width="12.140625" style="146" customWidth="1"/>
    <col min="3835" max="3835" width="7.42578125" style="146" customWidth="1"/>
    <col min="3836" max="3836" width="8.42578125" style="146" customWidth="1"/>
    <col min="3837" max="3837" width="8.140625" style="146" customWidth="1"/>
    <col min="3838" max="3838" width="5.85546875" style="146" customWidth="1"/>
    <col min="3839" max="3839" width="5.7109375" style="146" customWidth="1"/>
    <col min="3840" max="3840" width="8" style="146" customWidth="1"/>
    <col min="3841" max="3841" width="6.5703125" style="146" customWidth="1"/>
    <col min="3842" max="3842" width="6.85546875" style="146" customWidth="1"/>
    <col min="3843" max="3843" width="6.28515625" style="146" customWidth="1"/>
    <col min="3844" max="3844" width="6.5703125" style="146" customWidth="1"/>
    <col min="3845" max="3845" width="5.28515625" style="146" customWidth="1"/>
    <col min="3846" max="3846" width="6.140625" style="146" customWidth="1"/>
    <col min="3847" max="3848" width="5.42578125" style="146" customWidth="1"/>
    <col min="3849" max="3849" width="6.7109375" style="146" customWidth="1"/>
    <col min="3850" max="3850" width="6.5703125" style="146" customWidth="1"/>
    <col min="3851" max="3851" width="6.42578125" style="146" customWidth="1"/>
    <col min="3852" max="3852" width="6.5703125" style="146" customWidth="1"/>
    <col min="3853" max="3853" width="5.85546875" style="146" customWidth="1"/>
    <col min="3854" max="3854" width="6.28515625" style="146" customWidth="1"/>
    <col min="3855" max="3876" width="0" style="146" hidden="1" customWidth="1"/>
    <col min="3877" max="3877" width="0.7109375" style="146" customWidth="1"/>
    <col min="3878" max="3878" width="8.42578125" style="146" customWidth="1"/>
    <col min="3879" max="3880" width="0" style="146" hidden="1" customWidth="1"/>
    <col min="3881" max="3881" width="5" style="146" customWidth="1"/>
    <col min="3882" max="3882" width="7.42578125" style="146" customWidth="1"/>
    <col min="3883" max="3883" width="6.42578125" style="146" customWidth="1"/>
    <col min="3884" max="3884" width="6.140625" style="146" customWidth="1"/>
    <col min="3885" max="3885" width="0" style="146" hidden="1" customWidth="1"/>
    <col min="3886" max="3886" width="6.5703125" style="146" customWidth="1"/>
    <col min="3887" max="3888" width="7.5703125" style="146" customWidth="1"/>
    <col min="3889" max="3889" width="2.7109375" style="146" customWidth="1"/>
    <col min="3890" max="3890" width="15.140625" style="146" customWidth="1"/>
    <col min="3891" max="3891" width="2.7109375" style="146" customWidth="1"/>
    <col min="3892" max="3892" width="8.42578125" style="146" customWidth="1"/>
    <col min="3893" max="3893" width="2.7109375" style="146" customWidth="1"/>
    <col min="3894" max="3894" width="13.7109375" style="146" customWidth="1"/>
    <col min="3895" max="3895" width="2.7109375" style="146" customWidth="1"/>
    <col min="3896" max="3896" width="9.7109375" style="146" customWidth="1"/>
    <col min="3897" max="3897" width="2.7109375" style="146" customWidth="1"/>
    <col min="3898" max="3898" width="1" style="146" customWidth="1"/>
    <col min="3899" max="3899" width="6.7109375" style="146" customWidth="1"/>
    <col min="3900" max="3900" width="8.140625" style="146" customWidth="1"/>
    <col min="3901" max="3901" width="7.85546875" style="146" customWidth="1"/>
    <col min="3902" max="3902" width="8.28515625" style="146" customWidth="1"/>
    <col min="3903" max="3904" width="9.140625" style="146" customWidth="1"/>
    <col min="3905" max="3905" width="32.5703125" style="146" customWidth="1"/>
    <col min="3906" max="3906" width="9.140625" style="146" customWidth="1"/>
    <col min="3907" max="3907" width="3.140625" style="146" customWidth="1"/>
    <col min="3908" max="3908" width="13.85546875" style="146" customWidth="1"/>
    <col min="3909" max="3909" width="4.140625" style="146" customWidth="1"/>
    <col min="3910" max="3910" width="18.28515625" style="146" customWidth="1"/>
    <col min="3911" max="3911" width="1.5703125" style="146" customWidth="1"/>
    <col min="3912" max="3912" width="6" style="146" customWidth="1"/>
    <col min="3913" max="3913" width="2.5703125" style="146" customWidth="1"/>
    <col min="3914" max="3914" width="10.28515625" style="146" customWidth="1"/>
    <col min="3915" max="3915" width="5.42578125" style="146" customWidth="1"/>
    <col min="3916" max="4086" width="9.140625" style="146"/>
    <col min="4087" max="4087" width="2.28515625" style="146" customWidth="1"/>
    <col min="4088" max="4088" width="11" style="146" customWidth="1"/>
    <col min="4089" max="4089" width="13.140625" style="146" customWidth="1"/>
    <col min="4090" max="4090" width="12.140625" style="146" customWidth="1"/>
    <col min="4091" max="4091" width="7.42578125" style="146" customWidth="1"/>
    <col min="4092" max="4092" width="8.42578125" style="146" customWidth="1"/>
    <col min="4093" max="4093" width="8.140625" style="146" customWidth="1"/>
    <col min="4094" max="4094" width="5.85546875" style="146" customWidth="1"/>
    <col min="4095" max="4095" width="5.7109375" style="146" customWidth="1"/>
    <col min="4096" max="4096" width="8" style="146" customWidth="1"/>
    <col min="4097" max="4097" width="6.5703125" style="146" customWidth="1"/>
    <col min="4098" max="4098" width="6.85546875" style="146" customWidth="1"/>
    <col min="4099" max="4099" width="6.28515625" style="146" customWidth="1"/>
    <col min="4100" max="4100" width="6.5703125" style="146" customWidth="1"/>
    <col min="4101" max="4101" width="5.28515625" style="146" customWidth="1"/>
    <col min="4102" max="4102" width="6.140625" style="146" customWidth="1"/>
    <col min="4103" max="4104" width="5.42578125" style="146" customWidth="1"/>
    <col min="4105" max="4105" width="6.7109375" style="146" customWidth="1"/>
    <col min="4106" max="4106" width="6.5703125" style="146" customWidth="1"/>
    <col min="4107" max="4107" width="6.42578125" style="146" customWidth="1"/>
    <col min="4108" max="4108" width="6.5703125" style="146" customWidth="1"/>
    <col min="4109" max="4109" width="5.85546875" style="146" customWidth="1"/>
    <col min="4110" max="4110" width="6.28515625" style="146" customWidth="1"/>
    <col min="4111" max="4132" width="0" style="146" hidden="1" customWidth="1"/>
    <col min="4133" max="4133" width="0.7109375" style="146" customWidth="1"/>
    <col min="4134" max="4134" width="8.42578125" style="146" customWidth="1"/>
    <col min="4135" max="4136" width="0" style="146" hidden="1" customWidth="1"/>
    <col min="4137" max="4137" width="5" style="146" customWidth="1"/>
    <col min="4138" max="4138" width="7.42578125" style="146" customWidth="1"/>
    <col min="4139" max="4139" width="6.42578125" style="146" customWidth="1"/>
    <col min="4140" max="4140" width="6.140625" style="146" customWidth="1"/>
    <col min="4141" max="4141" width="0" style="146" hidden="1" customWidth="1"/>
    <col min="4142" max="4142" width="6.5703125" style="146" customWidth="1"/>
    <col min="4143" max="4144" width="7.5703125" style="146" customWidth="1"/>
    <col min="4145" max="4145" width="2.7109375" style="146" customWidth="1"/>
    <col min="4146" max="4146" width="15.140625" style="146" customWidth="1"/>
    <col min="4147" max="4147" width="2.7109375" style="146" customWidth="1"/>
    <col min="4148" max="4148" width="8.42578125" style="146" customWidth="1"/>
    <col min="4149" max="4149" width="2.7109375" style="146" customWidth="1"/>
    <col min="4150" max="4150" width="13.7109375" style="146" customWidth="1"/>
    <col min="4151" max="4151" width="2.7109375" style="146" customWidth="1"/>
    <col min="4152" max="4152" width="9.7109375" style="146" customWidth="1"/>
    <col min="4153" max="4153" width="2.7109375" style="146" customWidth="1"/>
    <col min="4154" max="4154" width="1" style="146" customWidth="1"/>
    <col min="4155" max="4155" width="6.7109375" style="146" customWidth="1"/>
    <col min="4156" max="4156" width="8.140625" style="146" customWidth="1"/>
    <col min="4157" max="4157" width="7.85546875" style="146" customWidth="1"/>
    <col min="4158" max="4158" width="8.28515625" style="146" customWidth="1"/>
    <col min="4159" max="4160" width="9.140625" style="146" customWidth="1"/>
    <col min="4161" max="4161" width="32.5703125" style="146" customWidth="1"/>
    <col min="4162" max="4162" width="9.140625" style="146" customWidth="1"/>
    <col min="4163" max="4163" width="3.140625" style="146" customWidth="1"/>
    <col min="4164" max="4164" width="13.85546875" style="146" customWidth="1"/>
    <col min="4165" max="4165" width="4.140625" style="146" customWidth="1"/>
    <col min="4166" max="4166" width="18.28515625" style="146" customWidth="1"/>
    <col min="4167" max="4167" width="1.5703125" style="146" customWidth="1"/>
    <col min="4168" max="4168" width="6" style="146" customWidth="1"/>
    <col min="4169" max="4169" width="2.5703125" style="146" customWidth="1"/>
    <col min="4170" max="4170" width="10.28515625" style="146" customWidth="1"/>
    <col min="4171" max="4171" width="5.42578125" style="146" customWidth="1"/>
    <col min="4172" max="4342" width="9.140625" style="146"/>
    <col min="4343" max="4343" width="2.28515625" style="146" customWidth="1"/>
    <col min="4344" max="4344" width="11" style="146" customWidth="1"/>
    <col min="4345" max="4345" width="13.140625" style="146" customWidth="1"/>
    <col min="4346" max="4346" width="12.140625" style="146" customWidth="1"/>
    <col min="4347" max="4347" width="7.42578125" style="146" customWidth="1"/>
    <col min="4348" max="4348" width="8.42578125" style="146" customWidth="1"/>
    <col min="4349" max="4349" width="8.140625" style="146" customWidth="1"/>
    <col min="4350" max="4350" width="5.85546875" style="146" customWidth="1"/>
    <col min="4351" max="4351" width="5.7109375" style="146" customWidth="1"/>
    <col min="4352" max="4352" width="8" style="146" customWidth="1"/>
    <col min="4353" max="4353" width="6.5703125" style="146" customWidth="1"/>
    <col min="4354" max="4354" width="6.85546875" style="146" customWidth="1"/>
    <col min="4355" max="4355" width="6.28515625" style="146" customWidth="1"/>
    <col min="4356" max="4356" width="6.5703125" style="146" customWidth="1"/>
    <col min="4357" max="4357" width="5.28515625" style="146" customWidth="1"/>
    <col min="4358" max="4358" width="6.140625" style="146" customWidth="1"/>
    <col min="4359" max="4360" width="5.42578125" style="146" customWidth="1"/>
    <col min="4361" max="4361" width="6.7109375" style="146" customWidth="1"/>
    <col min="4362" max="4362" width="6.5703125" style="146" customWidth="1"/>
    <col min="4363" max="4363" width="6.42578125" style="146" customWidth="1"/>
    <col min="4364" max="4364" width="6.5703125" style="146" customWidth="1"/>
    <col min="4365" max="4365" width="5.85546875" style="146" customWidth="1"/>
    <col min="4366" max="4366" width="6.28515625" style="146" customWidth="1"/>
    <col min="4367" max="4388" width="0" style="146" hidden="1" customWidth="1"/>
    <col min="4389" max="4389" width="0.7109375" style="146" customWidth="1"/>
    <col min="4390" max="4390" width="8.42578125" style="146" customWidth="1"/>
    <col min="4391" max="4392" width="0" style="146" hidden="1" customWidth="1"/>
    <col min="4393" max="4393" width="5" style="146" customWidth="1"/>
    <col min="4394" max="4394" width="7.42578125" style="146" customWidth="1"/>
    <col min="4395" max="4395" width="6.42578125" style="146" customWidth="1"/>
    <col min="4396" max="4396" width="6.140625" style="146" customWidth="1"/>
    <col min="4397" max="4397" width="0" style="146" hidden="1" customWidth="1"/>
    <col min="4398" max="4398" width="6.5703125" style="146" customWidth="1"/>
    <col min="4399" max="4400" width="7.5703125" style="146" customWidth="1"/>
    <col min="4401" max="4401" width="2.7109375" style="146" customWidth="1"/>
    <col min="4402" max="4402" width="15.140625" style="146" customWidth="1"/>
    <col min="4403" max="4403" width="2.7109375" style="146" customWidth="1"/>
    <col min="4404" max="4404" width="8.42578125" style="146" customWidth="1"/>
    <col min="4405" max="4405" width="2.7109375" style="146" customWidth="1"/>
    <col min="4406" max="4406" width="13.7109375" style="146" customWidth="1"/>
    <col min="4407" max="4407" width="2.7109375" style="146" customWidth="1"/>
    <col min="4408" max="4408" width="9.7109375" style="146" customWidth="1"/>
    <col min="4409" max="4409" width="2.7109375" style="146" customWidth="1"/>
    <col min="4410" max="4410" width="1" style="146" customWidth="1"/>
    <col min="4411" max="4411" width="6.7109375" style="146" customWidth="1"/>
    <col min="4412" max="4412" width="8.140625" style="146" customWidth="1"/>
    <col min="4413" max="4413" width="7.85546875" style="146" customWidth="1"/>
    <col min="4414" max="4414" width="8.28515625" style="146" customWidth="1"/>
    <col min="4415" max="4416" width="9.140625" style="146" customWidth="1"/>
    <col min="4417" max="4417" width="32.5703125" style="146" customWidth="1"/>
    <col min="4418" max="4418" width="9.140625" style="146" customWidth="1"/>
    <col min="4419" max="4419" width="3.140625" style="146" customWidth="1"/>
    <col min="4420" max="4420" width="13.85546875" style="146" customWidth="1"/>
    <col min="4421" max="4421" width="4.140625" style="146" customWidth="1"/>
    <col min="4422" max="4422" width="18.28515625" style="146" customWidth="1"/>
    <col min="4423" max="4423" width="1.5703125" style="146" customWidth="1"/>
    <col min="4424" max="4424" width="6" style="146" customWidth="1"/>
    <col min="4425" max="4425" width="2.5703125" style="146" customWidth="1"/>
    <col min="4426" max="4426" width="10.28515625" style="146" customWidth="1"/>
    <col min="4427" max="4427" width="5.42578125" style="146" customWidth="1"/>
    <col min="4428" max="4598" width="9.140625" style="146"/>
    <col min="4599" max="4599" width="2.28515625" style="146" customWidth="1"/>
    <col min="4600" max="4600" width="11" style="146" customWidth="1"/>
    <col min="4601" max="4601" width="13.140625" style="146" customWidth="1"/>
    <col min="4602" max="4602" width="12.140625" style="146" customWidth="1"/>
    <col min="4603" max="4603" width="7.42578125" style="146" customWidth="1"/>
    <col min="4604" max="4604" width="8.42578125" style="146" customWidth="1"/>
    <col min="4605" max="4605" width="8.140625" style="146" customWidth="1"/>
    <col min="4606" max="4606" width="5.85546875" style="146" customWidth="1"/>
    <col min="4607" max="4607" width="5.7109375" style="146" customWidth="1"/>
    <col min="4608" max="4608" width="8" style="146" customWidth="1"/>
    <col min="4609" max="4609" width="6.5703125" style="146" customWidth="1"/>
    <col min="4610" max="4610" width="6.85546875" style="146" customWidth="1"/>
    <col min="4611" max="4611" width="6.28515625" style="146" customWidth="1"/>
    <col min="4612" max="4612" width="6.5703125" style="146" customWidth="1"/>
    <col min="4613" max="4613" width="5.28515625" style="146" customWidth="1"/>
    <col min="4614" max="4614" width="6.140625" style="146" customWidth="1"/>
    <col min="4615" max="4616" width="5.42578125" style="146" customWidth="1"/>
    <col min="4617" max="4617" width="6.7109375" style="146" customWidth="1"/>
    <col min="4618" max="4618" width="6.5703125" style="146" customWidth="1"/>
    <col min="4619" max="4619" width="6.42578125" style="146" customWidth="1"/>
    <col min="4620" max="4620" width="6.5703125" style="146" customWidth="1"/>
    <col min="4621" max="4621" width="5.85546875" style="146" customWidth="1"/>
    <col min="4622" max="4622" width="6.28515625" style="146" customWidth="1"/>
    <col min="4623" max="4644" width="0" style="146" hidden="1" customWidth="1"/>
    <col min="4645" max="4645" width="0.7109375" style="146" customWidth="1"/>
    <col min="4646" max="4646" width="8.42578125" style="146" customWidth="1"/>
    <col min="4647" max="4648" width="0" style="146" hidden="1" customWidth="1"/>
    <col min="4649" max="4649" width="5" style="146" customWidth="1"/>
    <col min="4650" max="4650" width="7.42578125" style="146" customWidth="1"/>
    <col min="4651" max="4651" width="6.42578125" style="146" customWidth="1"/>
    <col min="4652" max="4652" width="6.140625" style="146" customWidth="1"/>
    <col min="4653" max="4653" width="0" style="146" hidden="1" customWidth="1"/>
    <col min="4654" max="4654" width="6.5703125" style="146" customWidth="1"/>
    <col min="4655" max="4656" width="7.5703125" style="146" customWidth="1"/>
    <col min="4657" max="4657" width="2.7109375" style="146" customWidth="1"/>
    <col min="4658" max="4658" width="15.140625" style="146" customWidth="1"/>
    <col min="4659" max="4659" width="2.7109375" style="146" customWidth="1"/>
    <col min="4660" max="4660" width="8.42578125" style="146" customWidth="1"/>
    <col min="4661" max="4661" width="2.7109375" style="146" customWidth="1"/>
    <col min="4662" max="4662" width="13.7109375" style="146" customWidth="1"/>
    <col min="4663" max="4663" width="2.7109375" style="146" customWidth="1"/>
    <col min="4664" max="4664" width="9.7109375" style="146" customWidth="1"/>
    <col min="4665" max="4665" width="2.7109375" style="146" customWidth="1"/>
    <col min="4666" max="4666" width="1" style="146" customWidth="1"/>
    <col min="4667" max="4667" width="6.7109375" style="146" customWidth="1"/>
    <col min="4668" max="4668" width="8.140625" style="146" customWidth="1"/>
    <col min="4669" max="4669" width="7.85546875" style="146" customWidth="1"/>
    <col min="4670" max="4670" width="8.28515625" style="146" customWidth="1"/>
    <col min="4671" max="4672" width="9.140625" style="146" customWidth="1"/>
    <col min="4673" max="4673" width="32.5703125" style="146" customWidth="1"/>
    <col min="4674" max="4674" width="9.140625" style="146" customWidth="1"/>
    <col min="4675" max="4675" width="3.140625" style="146" customWidth="1"/>
    <col min="4676" max="4676" width="13.85546875" style="146" customWidth="1"/>
    <col min="4677" max="4677" width="4.140625" style="146" customWidth="1"/>
    <col min="4678" max="4678" width="18.28515625" style="146" customWidth="1"/>
    <col min="4679" max="4679" width="1.5703125" style="146" customWidth="1"/>
    <col min="4680" max="4680" width="6" style="146" customWidth="1"/>
    <col min="4681" max="4681" width="2.5703125" style="146" customWidth="1"/>
    <col min="4682" max="4682" width="10.28515625" style="146" customWidth="1"/>
    <col min="4683" max="4683" width="5.42578125" style="146" customWidth="1"/>
    <col min="4684" max="4854" width="9.140625" style="146"/>
    <col min="4855" max="4855" width="2.28515625" style="146" customWidth="1"/>
    <col min="4856" max="4856" width="11" style="146" customWidth="1"/>
    <col min="4857" max="4857" width="13.140625" style="146" customWidth="1"/>
    <col min="4858" max="4858" width="12.140625" style="146" customWidth="1"/>
    <col min="4859" max="4859" width="7.42578125" style="146" customWidth="1"/>
    <col min="4860" max="4860" width="8.42578125" style="146" customWidth="1"/>
    <col min="4861" max="4861" width="8.140625" style="146" customWidth="1"/>
    <col min="4862" max="4862" width="5.85546875" style="146" customWidth="1"/>
    <col min="4863" max="4863" width="5.7109375" style="146" customWidth="1"/>
    <col min="4864" max="4864" width="8" style="146" customWidth="1"/>
    <col min="4865" max="4865" width="6.5703125" style="146" customWidth="1"/>
    <col min="4866" max="4866" width="6.85546875" style="146" customWidth="1"/>
    <col min="4867" max="4867" width="6.28515625" style="146" customWidth="1"/>
    <col min="4868" max="4868" width="6.5703125" style="146" customWidth="1"/>
    <col min="4869" max="4869" width="5.28515625" style="146" customWidth="1"/>
    <col min="4870" max="4870" width="6.140625" style="146" customWidth="1"/>
    <col min="4871" max="4872" width="5.42578125" style="146" customWidth="1"/>
    <col min="4873" max="4873" width="6.7109375" style="146" customWidth="1"/>
    <col min="4874" max="4874" width="6.5703125" style="146" customWidth="1"/>
    <col min="4875" max="4875" width="6.42578125" style="146" customWidth="1"/>
    <col min="4876" max="4876" width="6.5703125" style="146" customWidth="1"/>
    <col min="4877" max="4877" width="5.85546875" style="146" customWidth="1"/>
    <col min="4878" max="4878" width="6.28515625" style="146" customWidth="1"/>
    <col min="4879" max="4900" width="0" style="146" hidden="1" customWidth="1"/>
    <col min="4901" max="4901" width="0.7109375" style="146" customWidth="1"/>
    <col min="4902" max="4902" width="8.42578125" style="146" customWidth="1"/>
    <col min="4903" max="4904" width="0" style="146" hidden="1" customWidth="1"/>
    <col min="4905" max="4905" width="5" style="146" customWidth="1"/>
    <col min="4906" max="4906" width="7.42578125" style="146" customWidth="1"/>
    <col min="4907" max="4907" width="6.42578125" style="146" customWidth="1"/>
    <col min="4908" max="4908" width="6.140625" style="146" customWidth="1"/>
    <col min="4909" max="4909" width="0" style="146" hidden="1" customWidth="1"/>
    <col min="4910" max="4910" width="6.5703125" style="146" customWidth="1"/>
    <col min="4911" max="4912" width="7.5703125" style="146" customWidth="1"/>
    <col min="4913" max="4913" width="2.7109375" style="146" customWidth="1"/>
    <col min="4914" max="4914" width="15.140625" style="146" customWidth="1"/>
    <col min="4915" max="4915" width="2.7109375" style="146" customWidth="1"/>
    <col min="4916" max="4916" width="8.42578125" style="146" customWidth="1"/>
    <col min="4917" max="4917" width="2.7109375" style="146" customWidth="1"/>
    <col min="4918" max="4918" width="13.7109375" style="146" customWidth="1"/>
    <col min="4919" max="4919" width="2.7109375" style="146" customWidth="1"/>
    <col min="4920" max="4920" width="9.7109375" style="146" customWidth="1"/>
    <col min="4921" max="4921" width="2.7109375" style="146" customWidth="1"/>
    <col min="4922" max="4922" width="1" style="146" customWidth="1"/>
    <col min="4923" max="4923" width="6.7109375" style="146" customWidth="1"/>
    <col min="4924" max="4924" width="8.140625" style="146" customWidth="1"/>
    <col min="4925" max="4925" width="7.85546875" style="146" customWidth="1"/>
    <col min="4926" max="4926" width="8.28515625" style="146" customWidth="1"/>
    <col min="4927" max="4928" width="9.140625" style="146" customWidth="1"/>
    <col min="4929" max="4929" width="32.5703125" style="146" customWidth="1"/>
    <col min="4930" max="4930" width="9.140625" style="146" customWidth="1"/>
    <col min="4931" max="4931" width="3.140625" style="146" customWidth="1"/>
    <col min="4932" max="4932" width="13.85546875" style="146" customWidth="1"/>
    <col min="4933" max="4933" width="4.140625" style="146" customWidth="1"/>
    <col min="4934" max="4934" width="18.28515625" style="146" customWidth="1"/>
    <col min="4935" max="4935" width="1.5703125" style="146" customWidth="1"/>
    <col min="4936" max="4936" width="6" style="146" customWidth="1"/>
    <col min="4937" max="4937" width="2.5703125" style="146" customWidth="1"/>
    <col min="4938" max="4938" width="10.28515625" style="146" customWidth="1"/>
    <col min="4939" max="4939" width="5.42578125" style="146" customWidth="1"/>
    <col min="4940" max="5110" width="9.140625" style="146"/>
    <col min="5111" max="5111" width="2.28515625" style="146" customWidth="1"/>
    <col min="5112" max="5112" width="11" style="146" customWidth="1"/>
    <col min="5113" max="5113" width="13.140625" style="146" customWidth="1"/>
    <col min="5114" max="5114" width="12.140625" style="146" customWidth="1"/>
    <col min="5115" max="5115" width="7.42578125" style="146" customWidth="1"/>
    <col min="5116" max="5116" width="8.42578125" style="146" customWidth="1"/>
    <col min="5117" max="5117" width="8.140625" style="146" customWidth="1"/>
    <col min="5118" max="5118" width="5.85546875" style="146" customWidth="1"/>
    <col min="5119" max="5119" width="5.7109375" style="146" customWidth="1"/>
    <col min="5120" max="5120" width="8" style="146" customWidth="1"/>
    <col min="5121" max="5121" width="6.5703125" style="146" customWidth="1"/>
    <col min="5122" max="5122" width="6.85546875" style="146" customWidth="1"/>
    <col min="5123" max="5123" width="6.28515625" style="146" customWidth="1"/>
    <col min="5124" max="5124" width="6.5703125" style="146" customWidth="1"/>
    <col min="5125" max="5125" width="5.28515625" style="146" customWidth="1"/>
    <col min="5126" max="5126" width="6.140625" style="146" customWidth="1"/>
    <col min="5127" max="5128" width="5.42578125" style="146" customWidth="1"/>
    <col min="5129" max="5129" width="6.7109375" style="146" customWidth="1"/>
    <col min="5130" max="5130" width="6.5703125" style="146" customWidth="1"/>
    <col min="5131" max="5131" width="6.42578125" style="146" customWidth="1"/>
    <col min="5132" max="5132" width="6.5703125" style="146" customWidth="1"/>
    <col min="5133" max="5133" width="5.85546875" style="146" customWidth="1"/>
    <col min="5134" max="5134" width="6.28515625" style="146" customWidth="1"/>
    <col min="5135" max="5156" width="0" style="146" hidden="1" customWidth="1"/>
    <col min="5157" max="5157" width="0.7109375" style="146" customWidth="1"/>
    <col min="5158" max="5158" width="8.42578125" style="146" customWidth="1"/>
    <col min="5159" max="5160" width="0" style="146" hidden="1" customWidth="1"/>
    <col min="5161" max="5161" width="5" style="146" customWidth="1"/>
    <col min="5162" max="5162" width="7.42578125" style="146" customWidth="1"/>
    <col min="5163" max="5163" width="6.42578125" style="146" customWidth="1"/>
    <col min="5164" max="5164" width="6.140625" style="146" customWidth="1"/>
    <col min="5165" max="5165" width="0" style="146" hidden="1" customWidth="1"/>
    <col min="5166" max="5166" width="6.5703125" style="146" customWidth="1"/>
    <col min="5167" max="5168" width="7.5703125" style="146" customWidth="1"/>
    <col min="5169" max="5169" width="2.7109375" style="146" customWidth="1"/>
    <col min="5170" max="5170" width="15.140625" style="146" customWidth="1"/>
    <col min="5171" max="5171" width="2.7109375" style="146" customWidth="1"/>
    <col min="5172" max="5172" width="8.42578125" style="146" customWidth="1"/>
    <col min="5173" max="5173" width="2.7109375" style="146" customWidth="1"/>
    <col min="5174" max="5174" width="13.7109375" style="146" customWidth="1"/>
    <col min="5175" max="5175" width="2.7109375" style="146" customWidth="1"/>
    <col min="5176" max="5176" width="9.7109375" style="146" customWidth="1"/>
    <col min="5177" max="5177" width="2.7109375" style="146" customWidth="1"/>
    <col min="5178" max="5178" width="1" style="146" customWidth="1"/>
    <col min="5179" max="5179" width="6.7109375" style="146" customWidth="1"/>
    <col min="5180" max="5180" width="8.140625" style="146" customWidth="1"/>
    <col min="5181" max="5181" width="7.85546875" style="146" customWidth="1"/>
    <col min="5182" max="5182" width="8.28515625" style="146" customWidth="1"/>
    <col min="5183" max="5184" width="9.140625" style="146" customWidth="1"/>
    <col min="5185" max="5185" width="32.5703125" style="146" customWidth="1"/>
    <col min="5186" max="5186" width="9.140625" style="146" customWidth="1"/>
    <col min="5187" max="5187" width="3.140625" style="146" customWidth="1"/>
    <col min="5188" max="5188" width="13.85546875" style="146" customWidth="1"/>
    <col min="5189" max="5189" width="4.140625" style="146" customWidth="1"/>
    <col min="5190" max="5190" width="18.28515625" style="146" customWidth="1"/>
    <col min="5191" max="5191" width="1.5703125" style="146" customWidth="1"/>
    <col min="5192" max="5192" width="6" style="146" customWidth="1"/>
    <col min="5193" max="5193" width="2.5703125" style="146" customWidth="1"/>
    <col min="5194" max="5194" width="10.28515625" style="146" customWidth="1"/>
    <col min="5195" max="5195" width="5.42578125" style="146" customWidth="1"/>
    <col min="5196" max="5366" width="9.140625" style="146"/>
    <col min="5367" max="5367" width="2.28515625" style="146" customWidth="1"/>
    <col min="5368" max="5368" width="11" style="146" customWidth="1"/>
    <col min="5369" max="5369" width="13.140625" style="146" customWidth="1"/>
    <col min="5370" max="5370" width="12.140625" style="146" customWidth="1"/>
    <col min="5371" max="5371" width="7.42578125" style="146" customWidth="1"/>
    <col min="5372" max="5372" width="8.42578125" style="146" customWidth="1"/>
    <col min="5373" max="5373" width="8.140625" style="146" customWidth="1"/>
    <col min="5374" max="5374" width="5.85546875" style="146" customWidth="1"/>
    <col min="5375" max="5375" width="5.7109375" style="146" customWidth="1"/>
    <col min="5376" max="5376" width="8" style="146" customWidth="1"/>
    <col min="5377" max="5377" width="6.5703125" style="146" customWidth="1"/>
    <col min="5378" max="5378" width="6.85546875" style="146" customWidth="1"/>
    <col min="5379" max="5379" width="6.28515625" style="146" customWidth="1"/>
    <col min="5380" max="5380" width="6.5703125" style="146" customWidth="1"/>
    <col min="5381" max="5381" width="5.28515625" style="146" customWidth="1"/>
    <col min="5382" max="5382" width="6.140625" style="146" customWidth="1"/>
    <col min="5383" max="5384" width="5.42578125" style="146" customWidth="1"/>
    <col min="5385" max="5385" width="6.7109375" style="146" customWidth="1"/>
    <col min="5386" max="5386" width="6.5703125" style="146" customWidth="1"/>
    <col min="5387" max="5387" width="6.42578125" style="146" customWidth="1"/>
    <col min="5388" max="5388" width="6.5703125" style="146" customWidth="1"/>
    <col min="5389" max="5389" width="5.85546875" style="146" customWidth="1"/>
    <col min="5390" max="5390" width="6.28515625" style="146" customWidth="1"/>
    <col min="5391" max="5412" width="0" style="146" hidden="1" customWidth="1"/>
    <col min="5413" max="5413" width="0.7109375" style="146" customWidth="1"/>
    <col min="5414" max="5414" width="8.42578125" style="146" customWidth="1"/>
    <col min="5415" max="5416" width="0" style="146" hidden="1" customWidth="1"/>
    <col min="5417" max="5417" width="5" style="146" customWidth="1"/>
    <col min="5418" max="5418" width="7.42578125" style="146" customWidth="1"/>
    <col min="5419" max="5419" width="6.42578125" style="146" customWidth="1"/>
    <col min="5420" max="5420" width="6.140625" style="146" customWidth="1"/>
    <col min="5421" max="5421" width="0" style="146" hidden="1" customWidth="1"/>
    <col min="5422" max="5422" width="6.5703125" style="146" customWidth="1"/>
    <col min="5423" max="5424" width="7.5703125" style="146" customWidth="1"/>
    <col min="5425" max="5425" width="2.7109375" style="146" customWidth="1"/>
    <col min="5426" max="5426" width="15.140625" style="146" customWidth="1"/>
    <col min="5427" max="5427" width="2.7109375" style="146" customWidth="1"/>
    <col min="5428" max="5428" width="8.42578125" style="146" customWidth="1"/>
    <col min="5429" max="5429" width="2.7109375" style="146" customWidth="1"/>
    <col min="5430" max="5430" width="13.7109375" style="146" customWidth="1"/>
    <col min="5431" max="5431" width="2.7109375" style="146" customWidth="1"/>
    <col min="5432" max="5432" width="9.7109375" style="146" customWidth="1"/>
    <col min="5433" max="5433" width="2.7109375" style="146" customWidth="1"/>
    <col min="5434" max="5434" width="1" style="146" customWidth="1"/>
    <col min="5435" max="5435" width="6.7109375" style="146" customWidth="1"/>
    <col min="5436" max="5436" width="8.140625" style="146" customWidth="1"/>
    <col min="5437" max="5437" width="7.85546875" style="146" customWidth="1"/>
    <col min="5438" max="5438" width="8.28515625" style="146" customWidth="1"/>
    <col min="5439" max="5440" width="9.140625" style="146" customWidth="1"/>
    <col min="5441" max="5441" width="32.5703125" style="146" customWidth="1"/>
    <col min="5442" max="5442" width="9.140625" style="146" customWidth="1"/>
    <col min="5443" max="5443" width="3.140625" style="146" customWidth="1"/>
    <col min="5444" max="5444" width="13.85546875" style="146" customWidth="1"/>
    <col min="5445" max="5445" width="4.140625" style="146" customWidth="1"/>
    <col min="5446" max="5446" width="18.28515625" style="146" customWidth="1"/>
    <col min="5447" max="5447" width="1.5703125" style="146" customWidth="1"/>
    <col min="5448" max="5448" width="6" style="146" customWidth="1"/>
    <col min="5449" max="5449" width="2.5703125" style="146" customWidth="1"/>
    <col min="5450" max="5450" width="10.28515625" style="146" customWidth="1"/>
    <col min="5451" max="5451" width="5.42578125" style="146" customWidth="1"/>
    <col min="5452" max="5622" width="9.140625" style="146"/>
    <col min="5623" max="5623" width="2.28515625" style="146" customWidth="1"/>
    <col min="5624" max="5624" width="11" style="146" customWidth="1"/>
    <col min="5625" max="5625" width="13.140625" style="146" customWidth="1"/>
    <col min="5626" max="5626" width="12.140625" style="146" customWidth="1"/>
    <col min="5627" max="5627" width="7.42578125" style="146" customWidth="1"/>
    <col min="5628" max="5628" width="8.42578125" style="146" customWidth="1"/>
    <col min="5629" max="5629" width="8.140625" style="146" customWidth="1"/>
    <col min="5630" max="5630" width="5.85546875" style="146" customWidth="1"/>
    <col min="5631" max="5631" width="5.7109375" style="146" customWidth="1"/>
    <col min="5632" max="5632" width="8" style="146" customWidth="1"/>
    <col min="5633" max="5633" width="6.5703125" style="146" customWidth="1"/>
    <col min="5634" max="5634" width="6.85546875" style="146" customWidth="1"/>
    <col min="5635" max="5635" width="6.28515625" style="146" customWidth="1"/>
    <col min="5636" max="5636" width="6.5703125" style="146" customWidth="1"/>
    <col min="5637" max="5637" width="5.28515625" style="146" customWidth="1"/>
    <col min="5638" max="5638" width="6.140625" style="146" customWidth="1"/>
    <col min="5639" max="5640" width="5.42578125" style="146" customWidth="1"/>
    <col min="5641" max="5641" width="6.7109375" style="146" customWidth="1"/>
    <col min="5642" max="5642" width="6.5703125" style="146" customWidth="1"/>
    <col min="5643" max="5643" width="6.42578125" style="146" customWidth="1"/>
    <col min="5644" max="5644" width="6.5703125" style="146" customWidth="1"/>
    <col min="5645" max="5645" width="5.85546875" style="146" customWidth="1"/>
    <col min="5646" max="5646" width="6.28515625" style="146" customWidth="1"/>
    <col min="5647" max="5668" width="0" style="146" hidden="1" customWidth="1"/>
    <col min="5669" max="5669" width="0.7109375" style="146" customWidth="1"/>
    <col min="5670" max="5670" width="8.42578125" style="146" customWidth="1"/>
    <col min="5671" max="5672" width="0" style="146" hidden="1" customWidth="1"/>
    <col min="5673" max="5673" width="5" style="146" customWidth="1"/>
    <col min="5674" max="5674" width="7.42578125" style="146" customWidth="1"/>
    <col min="5675" max="5675" width="6.42578125" style="146" customWidth="1"/>
    <col min="5676" max="5676" width="6.140625" style="146" customWidth="1"/>
    <col min="5677" max="5677" width="0" style="146" hidden="1" customWidth="1"/>
    <col min="5678" max="5678" width="6.5703125" style="146" customWidth="1"/>
    <col min="5679" max="5680" width="7.5703125" style="146" customWidth="1"/>
    <col min="5681" max="5681" width="2.7109375" style="146" customWidth="1"/>
    <col min="5682" max="5682" width="15.140625" style="146" customWidth="1"/>
    <col min="5683" max="5683" width="2.7109375" style="146" customWidth="1"/>
    <col min="5684" max="5684" width="8.42578125" style="146" customWidth="1"/>
    <col min="5685" max="5685" width="2.7109375" style="146" customWidth="1"/>
    <col min="5686" max="5686" width="13.7109375" style="146" customWidth="1"/>
    <col min="5687" max="5687" width="2.7109375" style="146" customWidth="1"/>
    <col min="5688" max="5688" width="9.7109375" style="146" customWidth="1"/>
    <col min="5689" max="5689" width="2.7109375" style="146" customWidth="1"/>
    <col min="5690" max="5690" width="1" style="146" customWidth="1"/>
    <col min="5691" max="5691" width="6.7109375" style="146" customWidth="1"/>
    <col min="5692" max="5692" width="8.140625" style="146" customWidth="1"/>
    <col min="5693" max="5693" width="7.85546875" style="146" customWidth="1"/>
    <col min="5694" max="5694" width="8.28515625" style="146" customWidth="1"/>
    <col min="5695" max="5696" width="9.140625" style="146" customWidth="1"/>
    <col min="5697" max="5697" width="32.5703125" style="146" customWidth="1"/>
    <col min="5698" max="5698" width="9.140625" style="146" customWidth="1"/>
    <col min="5699" max="5699" width="3.140625" style="146" customWidth="1"/>
    <col min="5700" max="5700" width="13.85546875" style="146" customWidth="1"/>
    <col min="5701" max="5701" width="4.140625" style="146" customWidth="1"/>
    <col min="5702" max="5702" width="18.28515625" style="146" customWidth="1"/>
    <col min="5703" max="5703" width="1.5703125" style="146" customWidth="1"/>
    <col min="5704" max="5704" width="6" style="146" customWidth="1"/>
    <col min="5705" max="5705" width="2.5703125" style="146" customWidth="1"/>
    <col min="5706" max="5706" width="10.28515625" style="146" customWidth="1"/>
    <col min="5707" max="5707" width="5.42578125" style="146" customWidth="1"/>
    <col min="5708" max="5878" width="9.140625" style="146"/>
    <col min="5879" max="5879" width="2.28515625" style="146" customWidth="1"/>
    <col min="5880" max="5880" width="11" style="146" customWidth="1"/>
    <col min="5881" max="5881" width="13.140625" style="146" customWidth="1"/>
    <col min="5882" max="5882" width="12.140625" style="146" customWidth="1"/>
    <col min="5883" max="5883" width="7.42578125" style="146" customWidth="1"/>
    <col min="5884" max="5884" width="8.42578125" style="146" customWidth="1"/>
    <col min="5885" max="5885" width="8.140625" style="146" customWidth="1"/>
    <col min="5886" max="5886" width="5.85546875" style="146" customWidth="1"/>
    <col min="5887" max="5887" width="5.7109375" style="146" customWidth="1"/>
    <col min="5888" max="5888" width="8" style="146" customWidth="1"/>
    <col min="5889" max="5889" width="6.5703125" style="146" customWidth="1"/>
    <col min="5890" max="5890" width="6.85546875" style="146" customWidth="1"/>
    <col min="5891" max="5891" width="6.28515625" style="146" customWidth="1"/>
    <col min="5892" max="5892" width="6.5703125" style="146" customWidth="1"/>
    <col min="5893" max="5893" width="5.28515625" style="146" customWidth="1"/>
    <col min="5894" max="5894" width="6.140625" style="146" customWidth="1"/>
    <col min="5895" max="5896" width="5.42578125" style="146" customWidth="1"/>
    <col min="5897" max="5897" width="6.7109375" style="146" customWidth="1"/>
    <col min="5898" max="5898" width="6.5703125" style="146" customWidth="1"/>
    <col min="5899" max="5899" width="6.42578125" style="146" customWidth="1"/>
    <col min="5900" max="5900" width="6.5703125" style="146" customWidth="1"/>
    <col min="5901" max="5901" width="5.85546875" style="146" customWidth="1"/>
    <col min="5902" max="5902" width="6.28515625" style="146" customWidth="1"/>
    <col min="5903" max="5924" width="0" style="146" hidden="1" customWidth="1"/>
    <col min="5925" max="5925" width="0.7109375" style="146" customWidth="1"/>
    <col min="5926" max="5926" width="8.42578125" style="146" customWidth="1"/>
    <col min="5927" max="5928" width="0" style="146" hidden="1" customWidth="1"/>
    <col min="5929" max="5929" width="5" style="146" customWidth="1"/>
    <col min="5930" max="5930" width="7.42578125" style="146" customWidth="1"/>
    <col min="5931" max="5931" width="6.42578125" style="146" customWidth="1"/>
    <col min="5932" max="5932" width="6.140625" style="146" customWidth="1"/>
    <col min="5933" max="5933" width="0" style="146" hidden="1" customWidth="1"/>
    <col min="5934" max="5934" width="6.5703125" style="146" customWidth="1"/>
    <col min="5935" max="5936" width="7.5703125" style="146" customWidth="1"/>
    <col min="5937" max="5937" width="2.7109375" style="146" customWidth="1"/>
    <col min="5938" max="5938" width="15.140625" style="146" customWidth="1"/>
    <col min="5939" max="5939" width="2.7109375" style="146" customWidth="1"/>
    <col min="5940" max="5940" width="8.42578125" style="146" customWidth="1"/>
    <col min="5941" max="5941" width="2.7109375" style="146" customWidth="1"/>
    <col min="5942" max="5942" width="13.7109375" style="146" customWidth="1"/>
    <col min="5943" max="5943" width="2.7109375" style="146" customWidth="1"/>
    <col min="5944" max="5944" width="9.7109375" style="146" customWidth="1"/>
    <col min="5945" max="5945" width="2.7109375" style="146" customWidth="1"/>
    <col min="5946" max="5946" width="1" style="146" customWidth="1"/>
    <col min="5947" max="5947" width="6.7109375" style="146" customWidth="1"/>
    <col min="5948" max="5948" width="8.140625" style="146" customWidth="1"/>
    <col min="5949" max="5949" width="7.85546875" style="146" customWidth="1"/>
    <col min="5950" max="5950" width="8.28515625" style="146" customWidth="1"/>
    <col min="5951" max="5952" width="9.140625" style="146" customWidth="1"/>
    <col min="5953" max="5953" width="32.5703125" style="146" customWidth="1"/>
    <col min="5954" max="5954" width="9.140625" style="146" customWidth="1"/>
    <col min="5955" max="5955" width="3.140625" style="146" customWidth="1"/>
    <col min="5956" max="5956" width="13.85546875" style="146" customWidth="1"/>
    <col min="5957" max="5957" width="4.140625" style="146" customWidth="1"/>
    <col min="5958" max="5958" width="18.28515625" style="146" customWidth="1"/>
    <col min="5959" max="5959" width="1.5703125" style="146" customWidth="1"/>
    <col min="5960" max="5960" width="6" style="146" customWidth="1"/>
    <col min="5961" max="5961" width="2.5703125" style="146" customWidth="1"/>
    <col min="5962" max="5962" width="10.28515625" style="146" customWidth="1"/>
    <col min="5963" max="5963" width="5.42578125" style="146" customWidth="1"/>
    <col min="5964" max="6134" width="9.140625" style="146"/>
    <col min="6135" max="6135" width="2.28515625" style="146" customWidth="1"/>
    <col min="6136" max="6136" width="11" style="146" customWidth="1"/>
    <col min="6137" max="6137" width="13.140625" style="146" customWidth="1"/>
    <col min="6138" max="6138" width="12.140625" style="146" customWidth="1"/>
    <col min="6139" max="6139" width="7.42578125" style="146" customWidth="1"/>
    <col min="6140" max="6140" width="8.42578125" style="146" customWidth="1"/>
    <col min="6141" max="6141" width="8.140625" style="146" customWidth="1"/>
    <col min="6142" max="6142" width="5.85546875" style="146" customWidth="1"/>
    <col min="6143" max="6143" width="5.7109375" style="146" customWidth="1"/>
    <col min="6144" max="6144" width="8" style="146" customWidth="1"/>
    <col min="6145" max="6145" width="6.5703125" style="146" customWidth="1"/>
    <col min="6146" max="6146" width="6.85546875" style="146" customWidth="1"/>
    <col min="6147" max="6147" width="6.28515625" style="146" customWidth="1"/>
    <col min="6148" max="6148" width="6.5703125" style="146" customWidth="1"/>
    <col min="6149" max="6149" width="5.28515625" style="146" customWidth="1"/>
    <col min="6150" max="6150" width="6.140625" style="146" customWidth="1"/>
    <col min="6151" max="6152" width="5.42578125" style="146" customWidth="1"/>
    <col min="6153" max="6153" width="6.7109375" style="146" customWidth="1"/>
    <col min="6154" max="6154" width="6.5703125" style="146" customWidth="1"/>
    <col min="6155" max="6155" width="6.42578125" style="146" customWidth="1"/>
    <col min="6156" max="6156" width="6.5703125" style="146" customWidth="1"/>
    <col min="6157" max="6157" width="5.85546875" style="146" customWidth="1"/>
    <col min="6158" max="6158" width="6.28515625" style="146" customWidth="1"/>
    <col min="6159" max="6180" width="0" style="146" hidden="1" customWidth="1"/>
    <col min="6181" max="6181" width="0.7109375" style="146" customWidth="1"/>
    <col min="6182" max="6182" width="8.42578125" style="146" customWidth="1"/>
    <col min="6183" max="6184" width="0" style="146" hidden="1" customWidth="1"/>
    <col min="6185" max="6185" width="5" style="146" customWidth="1"/>
    <col min="6186" max="6186" width="7.42578125" style="146" customWidth="1"/>
    <col min="6187" max="6187" width="6.42578125" style="146" customWidth="1"/>
    <col min="6188" max="6188" width="6.140625" style="146" customWidth="1"/>
    <col min="6189" max="6189" width="0" style="146" hidden="1" customWidth="1"/>
    <col min="6190" max="6190" width="6.5703125" style="146" customWidth="1"/>
    <col min="6191" max="6192" width="7.5703125" style="146" customWidth="1"/>
    <col min="6193" max="6193" width="2.7109375" style="146" customWidth="1"/>
    <col min="6194" max="6194" width="15.140625" style="146" customWidth="1"/>
    <col min="6195" max="6195" width="2.7109375" style="146" customWidth="1"/>
    <col min="6196" max="6196" width="8.42578125" style="146" customWidth="1"/>
    <col min="6197" max="6197" width="2.7109375" style="146" customWidth="1"/>
    <col min="6198" max="6198" width="13.7109375" style="146" customWidth="1"/>
    <col min="6199" max="6199" width="2.7109375" style="146" customWidth="1"/>
    <col min="6200" max="6200" width="9.7109375" style="146" customWidth="1"/>
    <col min="6201" max="6201" width="2.7109375" style="146" customWidth="1"/>
    <col min="6202" max="6202" width="1" style="146" customWidth="1"/>
    <col min="6203" max="6203" width="6.7109375" style="146" customWidth="1"/>
    <col min="6204" max="6204" width="8.140625" style="146" customWidth="1"/>
    <col min="6205" max="6205" width="7.85546875" style="146" customWidth="1"/>
    <col min="6206" max="6206" width="8.28515625" style="146" customWidth="1"/>
    <col min="6207" max="6208" width="9.140625" style="146" customWidth="1"/>
    <col min="6209" max="6209" width="32.5703125" style="146" customWidth="1"/>
    <col min="6210" max="6210" width="9.140625" style="146" customWidth="1"/>
    <col min="6211" max="6211" width="3.140625" style="146" customWidth="1"/>
    <col min="6212" max="6212" width="13.85546875" style="146" customWidth="1"/>
    <col min="6213" max="6213" width="4.140625" style="146" customWidth="1"/>
    <col min="6214" max="6214" width="18.28515625" style="146" customWidth="1"/>
    <col min="6215" max="6215" width="1.5703125" style="146" customWidth="1"/>
    <col min="6216" max="6216" width="6" style="146" customWidth="1"/>
    <col min="6217" max="6217" width="2.5703125" style="146" customWidth="1"/>
    <col min="6218" max="6218" width="10.28515625" style="146" customWidth="1"/>
    <col min="6219" max="6219" width="5.42578125" style="146" customWidth="1"/>
    <col min="6220" max="6390" width="9.140625" style="146"/>
    <col min="6391" max="6391" width="2.28515625" style="146" customWidth="1"/>
    <col min="6392" max="6392" width="11" style="146" customWidth="1"/>
    <col min="6393" max="6393" width="13.140625" style="146" customWidth="1"/>
    <col min="6394" max="6394" width="12.140625" style="146" customWidth="1"/>
    <col min="6395" max="6395" width="7.42578125" style="146" customWidth="1"/>
    <col min="6396" max="6396" width="8.42578125" style="146" customWidth="1"/>
    <col min="6397" max="6397" width="8.140625" style="146" customWidth="1"/>
    <col min="6398" max="6398" width="5.85546875" style="146" customWidth="1"/>
    <col min="6399" max="6399" width="5.7109375" style="146" customWidth="1"/>
    <col min="6400" max="6400" width="8" style="146" customWidth="1"/>
    <col min="6401" max="6401" width="6.5703125" style="146" customWidth="1"/>
    <col min="6402" max="6402" width="6.85546875" style="146" customWidth="1"/>
    <col min="6403" max="6403" width="6.28515625" style="146" customWidth="1"/>
    <col min="6404" max="6404" width="6.5703125" style="146" customWidth="1"/>
    <col min="6405" max="6405" width="5.28515625" style="146" customWidth="1"/>
    <col min="6406" max="6406" width="6.140625" style="146" customWidth="1"/>
    <col min="6407" max="6408" width="5.42578125" style="146" customWidth="1"/>
    <col min="6409" max="6409" width="6.7109375" style="146" customWidth="1"/>
    <col min="6410" max="6410" width="6.5703125" style="146" customWidth="1"/>
    <col min="6411" max="6411" width="6.42578125" style="146" customWidth="1"/>
    <col min="6412" max="6412" width="6.5703125" style="146" customWidth="1"/>
    <col min="6413" max="6413" width="5.85546875" style="146" customWidth="1"/>
    <col min="6414" max="6414" width="6.28515625" style="146" customWidth="1"/>
    <col min="6415" max="6436" width="0" style="146" hidden="1" customWidth="1"/>
    <col min="6437" max="6437" width="0.7109375" style="146" customWidth="1"/>
    <col min="6438" max="6438" width="8.42578125" style="146" customWidth="1"/>
    <col min="6439" max="6440" width="0" style="146" hidden="1" customWidth="1"/>
    <col min="6441" max="6441" width="5" style="146" customWidth="1"/>
    <col min="6442" max="6442" width="7.42578125" style="146" customWidth="1"/>
    <col min="6443" max="6443" width="6.42578125" style="146" customWidth="1"/>
    <col min="6444" max="6444" width="6.140625" style="146" customWidth="1"/>
    <col min="6445" max="6445" width="0" style="146" hidden="1" customWidth="1"/>
    <col min="6446" max="6446" width="6.5703125" style="146" customWidth="1"/>
    <col min="6447" max="6448" width="7.5703125" style="146" customWidth="1"/>
    <col min="6449" max="6449" width="2.7109375" style="146" customWidth="1"/>
    <col min="6450" max="6450" width="15.140625" style="146" customWidth="1"/>
    <col min="6451" max="6451" width="2.7109375" style="146" customWidth="1"/>
    <col min="6452" max="6452" width="8.42578125" style="146" customWidth="1"/>
    <col min="6453" max="6453" width="2.7109375" style="146" customWidth="1"/>
    <col min="6454" max="6454" width="13.7109375" style="146" customWidth="1"/>
    <col min="6455" max="6455" width="2.7109375" style="146" customWidth="1"/>
    <col min="6456" max="6456" width="9.7109375" style="146" customWidth="1"/>
    <col min="6457" max="6457" width="2.7109375" style="146" customWidth="1"/>
    <col min="6458" max="6458" width="1" style="146" customWidth="1"/>
    <col min="6459" max="6459" width="6.7109375" style="146" customWidth="1"/>
    <col min="6460" max="6460" width="8.140625" style="146" customWidth="1"/>
    <col min="6461" max="6461" width="7.85546875" style="146" customWidth="1"/>
    <col min="6462" max="6462" width="8.28515625" style="146" customWidth="1"/>
    <col min="6463" max="6464" width="9.140625" style="146" customWidth="1"/>
    <col min="6465" max="6465" width="32.5703125" style="146" customWidth="1"/>
    <col min="6466" max="6466" width="9.140625" style="146" customWidth="1"/>
    <col min="6467" max="6467" width="3.140625" style="146" customWidth="1"/>
    <col min="6468" max="6468" width="13.85546875" style="146" customWidth="1"/>
    <col min="6469" max="6469" width="4.140625" style="146" customWidth="1"/>
    <col min="6470" max="6470" width="18.28515625" style="146" customWidth="1"/>
    <col min="6471" max="6471" width="1.5703125" style="146" customWidth="1"/>
    <col min="6472" max="6472" width="6" style="146" customWidth="1"/>
    <col min="6473" max="6473" width="2.5703125" style="146" customWidth="1"/>
    <col min="6474" max="6474" width="10.28515625" style="146" customWidth="1"/>
    <col min="6475" max="6475" width="5.42578125" style="146" customWidth="1"/>
    <col min="6476" max="6646" width="9.140625" style="146"/>
    <col min="6647" max="6647" width="2.28515625" style="146" customWidth="1"/>
    <col min="6648" max="6648" width="11" style="146" customWidth="1"/>
    <col min="6649" max="6649" width="13.140625" style="146" customWidth="1"/>
    <col min="6650" max="6650" width="12.140625" style="146" customWidth="1"/>
    <col min="6651" max="6651" width="7.42578125" style="146" customWidth="1"/>
    <col min="6652" max="6652" width="8.42578125" style="146" customWidth="1"/>
    <col min="6653" max="6653" width="8.140625" style="146" customWidth="1"/>
    <col min="6654" max="6654" width="5.85546875" style="146" customWidth="1"/>
    <col min="6655" max="6655" width="5.7109375" style="146" customWidth="1"/>
    <col min="6656" max="6656" width="8" style="146" customWidth="1"/>
    <col min="6657" max="6657" width="6.5703125" style="146" customWidth="1"/>
    <col min="6658" max="6658" width="6.85546875" style="146" customWidth="1"/>
    <col min="6659" max="6659" width="6.28515625" style="146" customWidth="1"/>
    <col min="6660" max="6660" width="6.5703125" style="146" customWidth="1"/>
    <col min="6661" max="6661" width="5.28515625" style="146" customWidth="1"/>
    <col min="6662" max="6662" width="6.140625" style="146" customWidth="1"/>
    <col min="6663" max="6664" width="5.42578125" style="146" customWidth="1"/>
    <col min="6665" max="6665" width="6.7109375" style="146" customWidth="1"/>
    <col min="6666" max="6666" width="6.5703125" style="146" customWidth="1"/>
    <col min="6667" max="6667" width="6.42578125" style="146" customWidth="1"/>
    <col min="6668" max="6668" width="6.5703125" style="146" customWidth="1"/>
    <col min="6669" max="6669" width="5.85546875" style="146" customWidth="1"/>
    <col min="6670" max="6670" width="6.28515625" style="146" customWidth="1"/>
    <col min="6671" max="6692" width="0" style="146" hidden="1" customWidth="1"/>
    <col min="6693" max="6693" width="0.7109375" style="146" customWidth="1"/>
    <col min="6694" max="6694" width="8.42578125" style="146" customWidth="1"/>
    <col min="6695" max="6696" width="0" style="146" hidden="1" customWidth="1"/>
    <col min="6697" max="6697" width="5" style="146" customWidth="1"/>
    <col min="6698" max="6698" width="7.42578125" style="146" customWidth="1"/>
    <col min="6699" max="6699" width="6.42578125" style="146" customWidth="1"/>
    <col min="6700" max="6700" width="6.140625" style="146" customWidth="1"/>
    <col min="6701" max="6701" width="0" style="146" hidden="1" customWidth="1"/>
    <col min="6702" max="6702" width="6.5703125" style="146" customWidth="1"/>
    <col min="6703" max="6704" width="7.5703125" style="146" customWidth="1"/>
    <col min="6705" max="6705" width="2.7109375" style="146" customWidth="1"/>
    <col min="6706" max="6706" width="15.140625" style="146" customWidth="1"/>
    <col min="6707" max="6707" width="2.7109375" style="146" customWidth="1"/>
    <col min="6708" max="6708" width="8.42578125" style="146" customWidth="1"/>
    <col min="6709" max="6709" width="2.7109375" style="146" customWidth="1"/>
    <col min="6710" max="6710" width="13.7109375" style="146" customWidth="1"/>
    <col min="6711" max="6711" width="2.7109375" style="146" customWidth="1"/>
    <col min="6712" max="6712" width="9.7109375" style="146" customWidth="1"/>
    <col min="6713" max="6713" width="2.7109375" style="146" customWidth="1"/>
    <col min="6714" max="6714" width="1" style="146" customWidth="1"/>
    <col min="6715" max="6715" width="6.7109375" style="146" customWidth="1"/>
    <col min="6716" max="6716" width="8.140625" style="146" customWidth="1"/>
    <col min="6717" max="6717" width="7.85546875" style="146" customWidth="1"/>
    <col min="6718" max="6718" width="8.28515625" style="146" customWidth="1"/>
    <col min="6719" max="6720" width="9.140625" style="146" customWidth="1"/>
    <col min="6721" max="6721" width="32.5703125" style="146" customWidth="1"/>
    <col min="6722" max="6722" width="9.140625" style="146" customWidth="1"/>
    <col min="6723" max="6723" width="3.140625" style="146" customWidth="1"/>
    <col min="6724" max="6724" width="13.85546875" style="146" customWidth="1"/>
    <col min="6725" max="6725" width="4.140625" style="146" customWidth="1"/>
    <col min="6726" max="6726" width="18.28515625" style="146" customWidth="1"/>
    <col min="6727" max="6727" width="1.5703125" style="146" customWidth="1"/>
    <col min="6728" max="6728" width="6" style="146" customWidth="1"/>
    <col min="6729" max="6729" width="2.5703125" style="146" customWidth="1"/>
    <col min="6730" max="6730" width="10.28515625" style="146" customWidth="1"/>
    <col min="6731" max="6731" width="5.42578125" style="146" customWidth="1"/>
    <col min="6732" max="6902" width="9.140625" style="146"/>
    <col min="6903" max="6903" width="2.28515625" style="146" customWidth="1"/>
    <col min="6904" max="6904" width="11" style="146" customWidth="1"/>
    <col min="6905" max="6905" width="13.140625" style="146" customWidth="1"/>
    <col min="6906" max="6906" width="12.140625" style="146" customWidth="1"/>
    <col min="6907" max="6907" width="7.42578125" style="146" customWidth="1"/>
    <col min="6908" max="6908" width="8.42578125" style="146" customWidth="1"/>
    <col min="6909" max="6909" width="8.140625" style="146" customWidth="1"/>
    <col min="6910" max="6910" width="5.85546875" style="146" customWidth="1"/>
    <col min="6911" max="6911" width="5.7109375" style="146" customWidth="1"/>
    <col min="6912" max="6912" width="8" style="146" customWidth="1"/>
    <col min="6913" max="6913" width="6.5703125" style="146" customWidth="1"/>
    <col min="6914" max="6914" width="6.85546875" style="146" customWidth="1"/>
    <col min="6915" max="6915" width="6.28515625" style="146" customWidth="1"/>
    <col min="6916" max="6916" width="6.5703125" style="146" customWidth="1"/>
    <col min="6917" max="6917" width="5.28515625" style="146" customWidth="1"/>
    <col min="6918" max="6918" width="6.140625" style="146" customWidth="1"/>
    <col min="6919" max="6920" width="5.42578125" style="146" customWidth="1"/>
    <col min="6921" max="6921" width="6.7109375" style="146" customWidth="1"/>
    <col min="6922" max="6922" width="6.5703125" style="146" customWidth="1"/>
    <col min="6923" max="6923" width="6.42578125" style="146" customWidth="1"/>
    <col min="6924" max="6924" width="6.5703125" style="146" customWidth="1"/>
    <col min="6925" max="6925" width="5.85546875" style="146" customWidth="1"/>
    <col min="6926" max="6926" width="6.28515625" style="146" customWidth="1"/>
    <col min="6927" max="6948" width="0" style="146" hidden="1" customWidth="1"/>
    <col min="6949" max="6949" width="0.7109375" style="146" customWidth="1"/>
    <col min="6950" max="6950" width="8.42578125" style="146" customWidth="1"/>
    <col min="6951" max="6952" width="0" style="146" hidden="1" customWidth="1"/>
    <col min="6953" max="6953" width="5" style="146" customWidth="1"/>
    <col min="6954" max="6954" width="7.42578125" style="146" customWidth="1"/>
    <col min="6955" max="6955" width="6.42578125" style="146" customWidth="1"/>
    <col min="6956" max="6956" width="6.140625" style="146" customWidth="1"/>
    <col min="6957" max="6957" width="0" style="146" hidden="1" customWidth="1"/>
    <col min="6958" max="6958" width="6.5703125" style="146" customWidth="1"/>
    <col min="6959" max="6960" width="7.5703125" style="146" customWidth="1"/>
    <col min="6961" max="6961" width="2.7109375" style="146" customWidth="1"/>
    <col min="6962" max="6962" width="15.140625" style="146" customWidth="1"/>
    <col min="6963" max="6963" width="2.7109375" style="146" customWidth="1"/>
    <col min="6964" max="6964" width="8.42578125" style="146" customWidth="1"/>
    <col min="6965" max="6965" width="2.7109375" style="146" customWidth="1"/>
    <col min="6966" max="6966" width="13.7109375" style="146" customWidth="1"/>
    <col min="6967" max="6967" width="2.7109375" style="146" customWidth="1"/>
    <col min="6968" max="6968" width="9.7109375" style="146" customWidth="1"/>
    <col min="6969" max="6969" width="2.7109375" style="146" customWidth="1"/>
    <col min="6970" max="6970" width="1" style="146" customWidth="1"/>
    <col min="6971" max="6971" width="6.7109375" style="146" customWidth="1"/>
    <col min="6972" max="6972" width="8.140625" style="146" customWidth="1"/>
    <col min="6973" max="6973" width="7.85546875" style="146" customWidth="1"/>
    <col min="6974" max="6974" width="8.28515625" style="146" customWidth="1"/>
    <col min="6975" max="6976" width="9.140625" style="146" customWidth="1"/>
    <col min="6977" max="6977" width="32.5703125" style="146" customWidth="1"/>
    <col min="6978" max="6978" width="9.140625" style="146" customWidth="1"/>
    <col min="6979" max="6979" width="3.140625" style="146" customWidth="1"/>
    <col min="6980" max="6980" width="13.85546875" style="146" customWidth="1"/>
    <col min="6981" max="6981" width="4.140625" style="146" customWidth="1"/>
    <col min="6982" max="6982" width="18.28515625" style="146" customWidth="1"/>
    <col min="6983" max="6983" width="1.5703125" style="146" customWidth="1"/>
    <col min="6984" max="6984" width="6" style="146" customWidth="1"/>
    <col min="6985" max="6985" width="2.5703125" style="146" customWidth="1"/>
    <col min="6986" max="6986" width="10.28515625" style="146" customWidth="1"/>
    <col min="6987" max="6987" width="5.42578125" style="146" customWidth="1"/>
    <col min="6988" max="7158" width="9.140625" style="146"/>
    <col min="7159" max="7159" width="2.28515625" style="146" customWidth="1"/>
    <col min="7160" max="7160" width="11" style="146" customWidth="1"/>
    <col min="7161" max="7161" width="13.140625" style="146" customWidth="1"/>
    <col min="7162" max="7162" width="12.140625" style="146" customWidth="1"/>
    <col min="7163" max="7163" width="7.42578125" style="146" customWidth="1"/>
    <col min="7164" max="7164" width="8.42578125" style="146" customWidth="1"/>
    <col min="7165" max="7165" width="8.140625" style="146" customWidth="1"/>
    <col min="7166" max="7166" width="5.85546875" style="146" customWidth="1"/>
    <col min="7167" max="7167" width="5.7109375" style="146" customWidth="1"/>
    <col min="7168" max="7168" width="8" style="146" customWidth="1"/>
    <col min="7169" max="7169" width="6.5703125" style="146" customWidth="1"/>
    <col min="7170" max="7170" width="6.85546875" style="146" customWidth="1"/>
    <col min="7171" max="7171" width="6.28515625" style="146" customWidth="1"/>
    <col min="7172" max="7172" width="6.5703125" style="146" customWidth="1"/>
    <col min="7173" max="7173" width="5.28515625" style="146" customWidth="1"/>
    <col min="7174" max="7174" width="6.140625" style="146" customWidth="1"/>
    <col min="7175" max="7176" width="5.42578125" style="146" customWidth="1"/>
    <col min="7177" max="7177" width="6.7109375" style="146" customWidth="1"/>
    <col min="7178" max="7178" width="6.5703125" style="146" customWidth="1"/>
    <col min="7179" max="7179" width="6.42578125" style="146" customWidth="1"/>
    <col min="7180" max="7180" width="6.5703125" style="146" customWidth="1"/>
    <col min="7181" max="7181" width="5.85546875" style="146" customWidth="1"/>
    <col min="7182" max="7182" width="6.28515625" style="146" customWidth="1"/>
    <col min="7183" max="7204" width="0" style="146" hidden="1" customWidth="1"/>
    <col min="7205" max="7205" width="0.7109375" style="146" customWidth="1"/>
    <col min="7206" max="7206" width="8.42578125" style="146" customWidth="1"/>
    <col min="7207" max="7208" width="0" style="146" hidden="1" customWidth="1"/>
    <col min="7209" max="7209" width="5" style="146" customWidth="1"/>
    <col min="7210" max="7210" width="7.42578125" style="146" customWidth="1"/>
    <col min="7211" max="7211" width="6.42578125" style="146" customWidth="1"/>
    <col min="7212" max="7212" width="6.140625" style="146" customWidth="1"/>
    <col min="7213" max="7213" width="0" style="146" hidden="1" customWidth="1"/>
    <col min="7214" max="7214" width="6.5703125" style="146" customWidth="1"/>
    <col min="7215" max="7216" width="7.5703125" style="146" customWidth="1"/>
    <col min="7217" max="7217" width="2.7109375" style="146" customWidth="1"/>
    <col min="7218" max="7218" width="15.140625" style="146" customWidth="1"/>
    <col min="7219" max="7219" width="2.7109375" style="146" customWidth="1"/>
    <col min="7220" max="7220" width="8.42578125" style="146" customWidth="1"/>
    <col min="7221" max="7221" width="2.7109375" style="146" customWidth="1"/>
    <col min="7222" max="7222" width="13.7109375" style="146" customWidth="1"/>
    <col min="7223" max="7223" width="2.7109375" style="146" customWidth="1"/>
    <col min="7224" max="7224" width="9.7109375" style="146" customWidth="1"/>
    <col min="7225" max="7225" width="2.7109375" style="146" customWidth="1"/>
    <col min="7226" max="7226" width="1" style="146" customWidth="1"/>
    <col min="7227" max="7227" width="6.7109375" style="146" customWidth="1"/>
    <col min="7228" max="7228" width="8.140625" style="146" customWidth="1"/>
    <col min="7229" max="7229" width="7.85546875" style="146" customWidth="1"/>
    <col min="7230" max="7230" width="8.28515625" style="146" customWidth="1"/>
    <col min="7231" max="7232" width="9.140625" style="146" customWidth="1"/>
    <col min="7233" max="7233" width="32.5703125" style="146" customWidth="1"/>
    <col min="7234" max="7234" width="9.140625" style="146" customWidth="1"/>
    <col min="7235" max="7235" width="3.140625" style="146" customWidth="1"/>
    <col min="7236" max="7236" width="13.85546875" style="146" customWidth="1"/>
    <col min="7237" max="7237" width="4.140625" style="146" customWidth="1"/>
    <col min="7238" max="7238" width="18.28515625" style="146" customWidth="1"/>
    <col min="7239" max="7239" width="1.5703125" style="146" customWidth="1"/>
    <col min="7240" max="7240" width="6" style="146" customWidth="1"/>
    <col min="7241" max="7241" width="2.5703125" style="146" customWidth="1"/>
    <col min="7242" max="7242" width="10.28515625" style="146" customWidth="1"/>
    <col min="7243" max="7243" width="5.42578125" style="146" customWidth="1"/>
    <col min="7244" max="7414" width="9.140625" style="146"/>
    <col min="7415" max="7415" width="2.28515625" style="146" customWidth="1"/>
    <col min="7416" max="7416" width="11" style="146" customWidth="1"/>
    <col min="7417" max="7417" width="13.140625" style="146" customWidth="1"/>
    <col min="7418" max="7418" width="12.140625" style="146" customWidth="1"/>
    <col min="7419" max="7419" width="7.42578125" style="146" customWidth="1"/>
    <col min="7420" max="7420" width="8.42578125" style="146" customWidth="1"/>
    <col min="7421" max="7421" width="8.140625" style="146" customWidth="1"/>
    <col min="7422" max="7422" width="5.85546875" style="146" customWidth="1"/>
    <col min="7423" max="7423" width="5.7109375" style="146" customWidth="1"/>
    <col min="7424" max="7424" width="8" style="146" customWidth="1"/>
    <col min="7425" max="7425" width="6.5703125" style="146" customWidth="1"/>
    <col min="7426" max="7426" width="6.85546875" style="146" customWidth="1"/>
    <col min="7427" max="7427" width="6.28515625" style="146" customWidth="1"/>
    <col min="7428" max="7428" width="6.5703125" style="146" customWidth="1"/>
    <col min="7429" max="7429" width="5.28515625" style="146" customWidth="1"/>
    <col min="7430" max="7430" width="6.140625" style="146" customWidth="1"/>
    <col min="7431" max="7432" width="5.42578125" style="146" customWidth="1"/>
    <col min="7433" max="7433" width="6.7109375" style="146" customWidth="1"/>
    <col min="7434" max="7434" width="6.5703125" style="146" customWidth="1"/>
    <col min="7435" max="7435" width="6.42578125" style="146" customWidth="1"/>
    <col min="7436" max="7436" width="6.5703125" style="146" customWidth="1"/>
    <col min="7437" max="7437" width="5.85546875" style="146" customWidth="1"/>
    <col min="7438" max="7438" width="6.28515625" style="146" customWidth="1"/>
    <col min="7439" max="7460" width="0" style="146" hidden="1" customWidth="1"/>
    <col min="7461" max="7461" width="0.7109375" style="146" customWidth="1"/>
    <col min="7462" max="7462" width="8.42578125" style="146" customWidth="1"/>
    <col min="7463" max="7464" width="0" style="146" hidden="1" customWidth="1"/>
    <col min="7465" max="7465" width="5" style="146" customWidth="1"/>
    <col min="7466" max="7466" width="7.42578125" style="146" customWidth="1"/>
    <col min="7467" max="7467" width="6.42578125" style="146" customWidth="1"/>
    <col min="7468" max="7468" width="6.140625" style="146" customWidth="1"/>
    <col min="7469" max="7469" width="0" style="146" hidden="1" customWidth="1"/>
    <col min="7470" max="7470" width="6.5703125" style="146" customWidth="1"/>
    <col min="7471" max="7472" width="7.5703125" style="146" customWidth="1"/>
    <col min="7473" max="7473" width="2.7109375" style="146" customWidth="1"/>
    <col min="7474" max="7474" width="15.140625" style="146" customWidth="1"/>
    <col min="7475" max="7475" width="2.7109375" style="146" customWidth="1"/>
    <col min="7476" max="7476" width="8.42578125" style="146" customWidth="1"/>
    <col min="7477" max="7477" width="2.7109375" style="146" customWidth="1"/>
    <col min="7478" max="7478" width="13.7109375" style="146" customWidth="1"/>
    <col min="7479" max="7479" width="2.7109375" style="146" customWidth="1"/>
    <col min="7480" max="7480" width="9.7109375" style="146" customWidth="1"/>
    <col min="7481" max="7481" width="2.7109375" style="146" customWidth="1"/>
    <col min="7482" max="7482" width="1" style="146" customWidth="1"/>
    <col min="7483" max="7483" width="6.7109375" style="146" customWidth="1"/>
    <col min="7484" max="7484" width="8.140625" style="146" customWidth="1"/>
    <col min="7485" max="7485" width="7.85546875" style="146" customWidth="1"/>
    <col min="7486" max="7486" width="8.28515625" style="146" customWidth="1"/>
    <col min="7487" max="7488" width="9.140625" style="146" customWidth="1"/>
    <col min="7489" max="7489" width="32.5703125" style="146" customWidth="1"/>
    <col min="7490" max="7490" width="9.140625" style="146" customWidth="1"/>
    <col min="7491" max="7491" width="3.140625" style="146" customWidth="1"/>
    <col min="7492" max="7492" width="13.85546875" style="146" customWidth="1"/>
    <col min="7493" max="7493" width="4.140625" style="146" customWidth="1"/>
    <col min="7494" max="7494" width="18.28515625" style="146" customWidth="1"/>
    <col min="7495" max="7495" width="1.5703125" style="146" customWidth="1"/>
    <col min="7496" max="7496" width="6" style="146" customWidth="1"/>
    <col min="7497" max="7497" width="2.5703125" style="146" customWidth="1"/>
    <col min="7498" max="7498" width="10.28515625" style="146" customWidth="1"/>
    <col min="7499" max="7499" width="5.42578125" style="146" customWidth="1"/>
    <col min="7500" max="7670" width="9.140625" style="146"/>
    <col min="7671" max="7671" width="2.28515625" style="146" customWidth="1"/>
    <col min="7672" max="7672" width="11" style="146" customWidth="1"/>
    <col min="7673" max="7673" width="13.140625" style="146" customWidth="1"/>
    <col min="7674" max="7674" width="12.140625" style="146" customWidth="1"/>
    <col min="7675" max="7675" width="7.42578125" style="146" customWidth="1"/>
    <col min="7676" max="7676" width="8.42578125" style="146" customWidth="1"/>
    <col min="7677" max="7677" width="8.140625" style="146" customWidth="1"/>
    <col min="7678" max="7678" width="5.85546875" style="146" customWidth="1"/>
    <col min="7679" max="7679" width="5.7109375" style="146" customWidth="1"/>
    <col min="7680" max="7680" width="8" style="146" customWidth="1"/>
    <col min="7681" max="7681" width="6.5703125" style="146" customWidth="1"/>
    <col min="7682" max="7682" width="6.85546875" style="146" customWidth="1"/>
    <col min="7683" max="7683" width="6.28515625" style="146" customWidth="1"/>
    <col min="7684" max="7684" width="6.5703125" style="146" customWidth="1"/>
    <col min="7685" max="7685" width="5.28515625" style="146" customWidth="1"/>
    <col min="7686" max="7686" width="6.140625" style="146" customWidth="1"/>
    <col min="7687" max="7688" width="5.42578125" style="146" customWidth="1"/>
    <col min="7689" max="7689" width="6.7109375" style="146" customWidth="1"/>
    <col min="7690" max="7690" width="6.5703125" style="146" customWidth="1"/>
    <col min="7691" max="7691" width="6.42578125" style="146" customWidth="1"/>
    <col min="7692" max="7692" width="6.5703125" style="146" customWidth="1"/>
    <col min="7693" max="7693" width="5.85546875" style="146" customWidth="1"/>
    <col min="7694" max="7694" width="6.28515625" style="146" customWidth="1"/>
    <col min="7695" max="7716" width="0" style="146" hidden="1" customWidth="1"/>
    <col min="7717" max="7717" width="0.7109375" style="146" customWidth="1"/>
    <col min="7718" max="7718" width="8.42578125" style="146" customWidth="1"/>
    <col min="7719" max="7720" width="0" style="146" hidden="1" customWidth="1"/>
    <col min="7721" max="7721" width="5" style="146" customWidth="1"/>
    <col min="7722" max="7722" width="7.42578125" style="146" customWidth="1"/>
    <col min="7723" max="7723" width="6.42578125" style="146" customWidth="1"/>
    <col min="7724" max="7724" width="6.140625" style="146" customWidth="1"/>
    <col min="7725" max="7725" width="0" style="146" hidden="1" customWidth="1"/>
    <col min="7726" max="7726" width="6.5703125" style="146" customWidth="1"/>
    <col min="7727" max="7728" width="7.5703125" style="146" customWidth="1"/>
    <col min="7729" max="7729" width="2.7109375" style="146" customWidth="1"/>
    <col min="7730" max="7730" width="15.140625" style="146" customWidth="1"/>
    <col min="7731" max="7731" width="2.7109375" style="146" customWidth="1"/>
    <col min="7732" max="7732" width="8.42578125" style="146" customWidth="1"/>
    <col min="7733" max="7733" width="2.7109375" style="146" customWidth="1"/>
    <col min="7734" max="7734" width="13.7109375" style="146" customWidth="1"/>
    <col min="7735" max="7735" width="2.7109375" style="146" customWidth="1"/>
    <col min="7736" max="7736" width="9.7109375" style="146" customWidth="1"/>
    <col min="7737" max="7737" width="2.7109375" style="146" customWidth="1"/>
    <col min="7738" max="7738" width="1" style="146" customWidth="1"/>
    <col min="7739" max="7739" width="6.7109375" style="146" customWidth="1"/>
    <col min="7740" max="7740" width="8.140625" style="146" customWidth="1"/>
    <col min="7741" max="7741" width="7.85546875" style="146" customWidth="1"/>
    <col min="7742" max="7742" width="8.28515625" style="146" customWidth="1"/>
    <col min="7743" max="7744" width="9.140625" style="146" customWidth="1"/>
    <col min="7745" max="7745" width="32.5703125" style="146" customWidth="1"/>
    <col min="7746" max="7746" width="9.140625" style="146" customWidth="1"/>
    <col min="7747" max="7747" width="3.140625" style="146" customWidth="1"/>
    <col min="7748" max="7748" width="13.85546875" style="146" customWidth="1"/>
    <col min="7749" max="7749" width="4.140625" style="146" customWidth="1"/>
    <col min="7750" max="7750" width="18.28515625" style="146" customWidth="1"/>
    <col min="7751" max="7751" width="1.5703125" style="146" customWidth="1"/>
    <col min="7752" max="7752" width="6" style="146" customWidth="1"/>
    <col min="7753" max="7753" width="2.5703125" style="146" customWidth="1"/>
    <col min="7754" max="7754" width="10.28515625" style="146" customWidth="1"/>
    <col min="7755" max="7755" width="5.42578125" style="146" customWidth="1"/>
    <col min="7756" max="7926" width="9.140625" style="146"/>
    <col min="7927" max="7927" width="2.28515625" style="146" customWidth="1"/>
    <col min="7928" max="7928" width="11" style="146" customWidth="1"/>
    <col min="7929" max="7929" width="13.140625" style="146" customWidth="1"/>
    <col min="7930" max="7930" width="12.140625" style="146" customWidth="1"/>
    <col min="7931" max="7931" width="7.42578125" style="146" customWidth="1"/>
    <col min="7932" max="7932" width="8.42578125" style="146" customWidth="1"/>
    <col min="7933" max="7933" width="8.140625" style="146" customWidth="1"/>
    <col min="7934" max="7934" width="5.85546875" style="146" customWidth="1"/>
    <col min="7935" max="7935" width="5.7109375" style="146" customWidth="1"/>
    <col min="7936" max="7936" width="8" style="146" customWidth="1"/>
    <col min="7937" max="7937" width="6.5703125" style="146" customWidth="1"/>
    <col min="7938" max="7938" width="6.85546875" style="146" customWidth="1"/>
    <col min="7939" max="7939" width="6.28515625" style="146" customWidth="1"/>
    <col min="7940" max="7940" width="6.5703125" style="146" customWidth="1"/>
    <col min="7941" max="7941" width="5.28515625" style="146" customWidth="1"/>
    <col min="7942" max="7942" width="6.140625" style="146" customWidth="1"/>
    <col min="7943" max="7944" width="5.42578125" style="146" customWidth="1"/>
    <col min="7945" max="7945" width="6.7109375" style="146" customWidth="1"/>
    <col min="7946" max="7946" width="6.5703125" style="146" customWidth="1"/>
    <col min="7947" max="7947" width="6.42578125" style="146" customWidth="1"/>
    <col min="7948" max="7948" width="6.5703125" style="146" customWidth="1"/>
    <col min="7949" max="7949" width="5.85546875" style="146" customWidth="1"/>
    <col min="7950" max="7950" width="6.28515625" style="146" customWidth="1"/>
    <col min="7951" max="7972" width="0" style="146" hidden="1" customWidth="1"/>
    <col min="7973" max="7973" width="0.7109375" style="146" customWidth="1"/>
    <col min="7974" max="7974" width="8.42578125" style="146" customWidth="1"/>
    <col min="7975" max="7976" width="0" style="146" hidden="1" customWidth="1"/>
    <col min="7977" max="7977" width="5" style="146" customWidth="1"/>
    <col min="7978" max="7978" width="7.42578125" style="146" customWidth="1"/>
    <col min="7979" max="7979" width="6.42578125" style="146" customWidth="1"/>
    <col min="7980" max="7980" width="6.140625" style="146" customWidth="1"/>
    <col min="7981" max="7981" width="0" style="146" hidden="1" customWidth="1"/>
    <col min="7982" max="7982" width="6.5703125" style="146" customWidth="1"/>
    <col min="7983" max="7984" width="7.5703125" style="146" customWidth="1"/>
    <col min="7985" max="7985" width="2.7109375" style="146" customWidth="1"/>
    <col min="7986" max="7986" width="15.140625" style="146" customWidth="1"/>
    <col min="7987" max="7987" width="2.7109375" style="146" customWidth="1"/>
    <col min="7988" max="7988" width="8.42578125" style="146" customWidth="1"/>
    <col min="7989" max="7989" width="2.7109375" style="146" customWidth="1"/>
    <col min="7990" max="7990" width="13.7109375" style="146" customWidth="1"/>
    <col min="7991" max="7991" width="2.7109375" style="146" customWidth="1"/>
    <col min="7992" max="7992" width="9.7109375" style="146" customWidth="1"/>
    <col min="7993" max="7993" width="2.7109375" style="146" customWidth="1"/>
    <col min="7994" max="7994" width="1" style="146" customWidth="1"/>
    <col min="7995" max="7995" width="6.7109375" style="146" customWidth="1"/>
    <col min="7996" max="7996" width="8.140625" style="146" customWidth="1"/>
    <col min="7997" max="7997" width="7.85546875" style="146" customWidth="1"/>
    <col min="7998" max="7998" width="8.28515625" style="146" customWidth="1"/>
    <col min="7999" max="8000" width="9.140625" style="146" customWidth="1"/>
    <col min="8001" max="8001" width="32.5703125" style="146" customWidth="1"/>
    <col min="8002" max="8002" width="9.140625" style="146" customWidth="1"/>
    <col min="8003" max="8003" width="3.140625" style="146" customWidth="1"/>
    <col min="8004" max="8004" width="13.85546875" style="146" customWidth="1"/>
    <col min="8005" max="8005" width="4.140625" style="146" customWidth="1"/>
    <col min="8006" max="8006" width="18.28515625" style="146" customWidth="1"/>
    <col min="8007" max="8007" width="1.5703125" style="146" customWidth="1"/>
    <col min="8008" max="8008" width="6" style="146" customWidth="1"/>
    <col min="8009" max="8009" width="2.5703125" style="146" customWidth="1"/>
    <col min="8010" max="8010" width="10.28515625" style="146" customWidth="1"/>
    <col min="8011" max="8011" width="5.42578125" style="146" customWidth="1"/>
    <col min="8012" max="8182" width="9.140625" style="146"/>
    <col min="8183" max="8183" width="2.28515625" style="146" customWidth="1"/>
    <col min="8184" max="8184" width="11" style="146" customWidth="1"/>
    <col min="8185" max="8185" width="13.140625" style="146" customWidth="1"/>
    <col min="8186" max="8186" width="12.140625" style="146" customWidth="1"/>
    <col min="8187" max="8187" width="7.42578125" style="146" customWidth="1"/>
    <col min="8188" max="8188" width="8.42578125" style="146" customWidth="1"/>
    <col min="8189" max="8189" width="8.140625" style="146" customWidth="1"/>
    <col min="8190" max="8190" width="5.85546875" style="146" customWidth="1"/>
    <col min="8191" max="8191" width="5.7109375" style="146" customWidth="1"/>
    <col min="8192" max="8192" width="8" style="146" customWidth="1"/>
    <col min="8193" max="8193" width="6.5703125" style="146" customWidth="1"/>
    <col min="8194" max="8194" width="6.85546875" style="146" customWidth="1"/>
    <col min="8195" max="8195" width="6.28515625" style="146" customWidth="1"/>
    <col min="8196" max="8196" width="6.5703125" style="146" customWidth="1"/>
    <col min="8197" max="8197" width="5.28515625" style="146" customWidth="1"/>
    <col min="8198" max="8198" width="6.140625" style="146" customWidth="1"/>
    <col min="8199" max="8200" width="5.42578125" style="146" customWidth="1"/>
    <col min="8201" max="8201" width="6.7109375" style="146" customWidth="1"/>
    <col min="8202" max="8202" width="6.5703125" style="146" customWidth="1"/>
    <col min="8203" max="8203" width="6.42578125" style="146" customWidth="1"/>
    <col min="8204" max="8204" width="6.5703125" style="146" customWidth="1"/>
    <col min="8205" max="8205" width="5.85546875" style="146" customWidth="1"/>
    <col min="8206" max="8206" width="6.28515625" style="146" customWidth="1"/>
    <col min="8207" max="8228" width="0" style="146" hidden="1" customWidth="1"/>
    <col min="8229" max="8229" width="0.7109375" style="146" customWidth="1"/>
    <col min="8230" max="8230" width="8.42578125" style="146" customWidth="1"/>
    <col min="8231" max="8232" width="0" style="146" hidden="1" customWidth="1"/>
    <col min="8233" max="8233" width="5" style="146" customWidth="1"/>
    <col min="8234" max="8234" width="7.42578125" style="146" customWidth="1"/>
    <col min="8235" max="8235" width="6.42578125" style="146" customWidth="1"/>
    <col min="8236" max="8236" width="6.140625" style="146" customWidth="1"/>
    <col min="8237" max="8237" width="0" style="146" hidden="1" customWidth="1"/>
    <col min="8238" max="8238" width="6.5703125" style="146" customWidth="1"/>
    <col min="8239" max="8240" width="7.5703125" style="146" customWidth="1"/>
    <col min="8241" max="8241" width="2.7109375" style="146" customWidth="1"/>
    <col min="8242" max="8242" width="15.140625" style="146" customWidth="1"/>
    <col min="8243" max="8243" width="2.7109375" style="146" customWidth="1"/>
    <col min="8244" max="8244" width="8.42578125" style="146" customWidth="1"/>
    <col min="8245" max="8245" width="2.7109375" style="146" customWidth="1"/>
    <col min="8246" max="8246" width="13.7109375" style="146" customWidth="1"/>
    <col min="8247" max="8247" width="2.7109375" style="146" customWidth="1"/>
    <col min="8248" max="8248" width="9.7109375" style="146" customWidth="1"/>
    <col min="8249" max="8249" width="2.7109375" style="146" customWidth="1"/>
    <col min="8250" max="8250" width="1" style="146" customWidth="1"/>
    <col min="8251" max="8251" width="6.7109375" style="146" customWidth="1"/>
    <col min="8252" max="8252" width="8.140625" style="146" customWidth="1"/>
    <col min="8253" max="8253" width="7.85546875" style="146" customWidth="1"/>
    <col min="8254" max="8254" width="8.28515625" style="146" customWidth="1"/>
    <col min="8255" max="8256" width="9.140625" style="146" customWidth="1"/>
    <col min="8257" max="8257" width="32.5703125" style="146" customWidth="1"/>
    <col min="8258" max="8258" width="9.140625" style="146" customWidth="1"/>
    <col min="8259" max="8259" width="3.140625" style="146" customWidth="1"/>
    <col min="8260" max="8260" width="13.85546875" style="146" customWidth="1"/>
    <col min="8261" max="8261" width="4.140625" style="146" customWidth="1"/>
    <col min="8262" max="8262" width="18.28515625" style="146" customWidth="1"/>
    <col min="8263" max="8263" width="1.5703125" style="146" customWidth="1"/>
    <col min="8264" max="8264" width="6" style="146" customWidth="1"/>
    <col min="8265" max="8265" width="2.5703125" style="146" customWidth="1"/>
    <col min="8266" max="8266" width="10.28515625" style="146" customWidth="1"/>
    <col min="8267" max="8267" width="5.42578125" style="146" customWidth="1"/>
    <col min="8268" max="8438" width="9.140625" style="146"/>
    <col min="8439" max="8439" width="2.28515625" style="146" customWidth="1"/>
    <col min="8440" max="8440" width="11" style="146" customWidth="1"/>
    <col min="8441" max="8441" width="13.140625" style="146" customWidth="1"/>
    <col min="8442" max="8442" width="12.140625" style="146" customWidth="1"/>
    <col min="8443" max="8443" width="7.42578125" style="146" customWidth="1"/>
    <col min="8444" max="8444" width="8.42578125" style="146" customWidth="1"/>
    <col min="8445" max="8445" width="8.140625" style="146" customWidth="1"/>
    <col min="8446" max="8446" width="5.85546875" style="146" customWidth="1"/>
    <col min="8447" max="8447" width="5.7109375" style="146" customWidth="1"/>
    <col min="8448" max="8448" width="8" style="146" customWidth="1"/>
    <col min="8449" max="8449" width="6.5703125" style="146" customWidth="1"/>
    <col min="8450" max="8450" width="6.85546875" style="146" customWidth="1"/>
    <col min="8451" max="8451" width="6.28515625" style="146" customWidth="1"/>
    <col min="8452" max="8452" width="6.5703125" style="146" customWidth="1"/>
    <col min="8453" max="8453" width="5.28515625" style="146" customWidth="1"/>
    <col min="8454" max="8454" width="6.140625" style="146" customWidth="1"/>
    <col min="8455" max="8456" width="5.42578125" style="146" customWidth="1"/>
    <col min="8457" max="8457" width="6.7109375" style="146" customWidth="1"/>
    <col min="8458" max="8458" width="6.5703125" style="146" customWidth="1"/>
    <col min="8459" max="8459" width="6.42578125" style="146" customWidth="1"/>
    <col min="8460" max="8460" width="6.5703125" style="146" customWidth="1"/>
    <col min="8461" max="8461" width="5.85546875" style="146" customWidth="1"/>
    <col min="8462" max="8462" width="6.28515625" style="146" customWidth="1"/>
    <col min="8463" max="8484" width="0" style="146" hidden="1" customWidth="1"/>
    <col min="8485" max="8485" width="0.7109375" style="146" customWidth="1"/>
    <col min="8486" max="8486" width="8.42578125" style="146" customWidth="1"/>
    <col min="8487" max="8488" width="0" style="146" hidden="1" customWidth="1"/>
    <col min="8489" max="8489" width="5" style="146" customWidth="1"/>
    <col min="8490" max="8490" width="7.42578125" style="146" customWidth="1"/>
    <col min="8491" max="8491" width="6.42578125" style="146" customWidth="1"/>
    <col min="8492" max="8492" width="6.140625" style="146" customWidth="1"/>
    <col min="8493" max="8493" width="0" style="146" hidden="1" customWidth="1"/>
    <col min="8494" max="8494" width="6.5703125" style="146" customWidth="1"/>
    <col min="8495" max="8496" width="7.5703125" style="146" customWidth="1"/>
    <col min="8497" max="8497" width="2.7109375" style="146" customWidth="1"/>
    <col min="8498" max="8498" width="15.140625" style="146" customWidth="1"/>
    <col min="8499" max="8499" width="2.7109375" style="146" customWidth="1"/>
    <col min="8500" max="8500" width="8.42578125" style="146" customWidth="1"/>
    <col min="8501" max="8501" width="2.7109375" style="146" customWidth="1"/>
    <col min="8502" max="8502" width="13.7109375" style="146" customWidth="1"/>
    <col min="8503" max="8503" width="2.7109375" style="146" customWidth="1"/>
    <col min="8504" max="8504" width="9.7109375" style="146" customWidth="1"/>
    <col min="8505" max="8505" width="2.7109375" style="146" customWidth="1"/>
    <col min="8506" max="8506" width="1" style="146" customWidth="1"/>
    <col min="8507" max="8507" width="6.7109375" style="146" customWidth="1"/>
    <col min="8508" max="8508" width="8.140625" style="146" customWidth="1"/>
    <col min="8509" max="8509" width="7.85546875" style="146" customWidth="1"/>
    <col min="8510" max="8510" width="8.28515625" style="146" customWidth="1"/>
    <col min="8511" max="8512" width="9.140625" style="146" customWidth="1"/>
    <col min="8513" max="8513" width="32.5703125" style="146" customWidth="1"/>
    <col min="8514" max="8514" width="9.140625" style="146" customWidth="1"/>
    <col min="8515" max="8515" width="3.140625" style="146" customWidth="1"/>
    <col min="8516" max="8516" width="13.85546875" style="146" customWidth="1"/>
    <col min="8517" max="8517" width="4.140625" style="146" customWidth="1"/>
    <col min="8518" max="8518" width="18.28515625" style="146" customWidth="1"/>
    <col min="8519" max="8519" width="1.5703125" style="146" customWidth="1"/>
    <col min="8520" max="8520" width="6" style="146" customWidth="1"/>
    <col min="8521" max="8521" width="2.5703125" style="146" customWidth="1"/>
    <col min="8522" max="8522" width="10.28515625" style="146" customWidth="1"/>
    <col min="8523" max="8523" width="5.42578125" style="146" customWidth="1"/>
    <col min="8524" max="8694" width="9.140625" style="146"/>
    <col min="8695" max="8695" width="2.28515625" style="146" customWidth="1"/>
    <col min="8696" max="8696" width="11" style="146" customWidth="1"/>
    <col min="8697" max="8697" width="13.140625" style="146" customWidth="1"/>
    <col min="8698" max="8698" width="12.140625" style="146" customWidth="1"/>
    <col min="8699" max="8699" width="7.42578125" style="146" customWidth="1"/>
    <col min="8700" max="8700" width="8.42578125" style="146" customWidth="1"/>
    <col min="8701" max="8701" width="8.140625" style="146" customWidth="1"/>
    <col min="8702" max="8702" width="5.85546875" style="146" customWidth="1"/>
    <col min="8703" max="8703" width="5.7109375" style="146" customWidth="1"/>
    <col min="8704" max="8704" width="8" style="146" customWidth="1"/>
    <col min="8705" max="8705" width="6.5703125" style="146" customWidth="1"/>
    <col min="8706" max="8706" width="6.85546875" style="146" customWidth="1"/>
    <col min="8707" max="8707" width="6.28515625" style="146" customWidth="1"/>
    <col min="8708" max="8708" width="6.5703125" style="146" customWidth="1"/>
    <col min="8709" max="8709" width="5.28515625" style="146" customWidth="1"/>
    <col min="8710" max="8710" width="6.140625" style="146" customWidth="1"/>
    <col min="8711" max="8712" width="5.42578125" style="146" customWidth="1"/>
    <col min="8713" max="8713" width="6.7109375" style="146" customWidth="1"/>
    <col min="8714" max="8714" width="6.5703125" style="146" customWidth="1"/>
    <col min="8715" max="8715" width="6.42578125" style="146" customWidth="1"/>
    <col min="8716" max="8716" width="6.5703125" style="146" customWidth="1"/>
    <col min="8717" max="8717" width="5.85546875" style="146" customWidth="1"/>
    <col min="8718" max="8718" width="6.28515625" style="146" customWidth="1"/>
    <col min="8719" max="8740" width="0" style="146" hidden="1" customWidth="1"/>
    <col min="8741" max="8741" width="0.7109375" style="146" customWidth="1"/>
    <col min="8742" max="8742" width="8.42578125" style="146" customWidth="1"/>
    <col min="8743" max="8744" width="0" style="146" hidden="1" customWidth="1"/>
    <col min="8745" max="8745" width="5" style="146" customWidth="1"/>
    <col min="8746" max="8746" width="7.42578125" style="146" customWidth="1"/>
    <col min="8747" max="8747" width="6.42578125" style="146" customWidth="1"/>
    <col min="8748" max="8748" width="6.140625" style="146" customWidth="1"/>
    <col min="8749" max="8749" width="0" style="146" hidden="1" customWidth="1"/>
    <col min="8750" max="8750" width="6.5703125" style="146" customWidth="1"/>
    <col min="8751" max="8752" width="7.5703125" style="146" customWidth="1"/>
    <col min="8753" max="8753" width="2.7109375" style="146" customWidth="1"/>
    <col min="8754" max="8754" width="15.140625" style="146" customWidth="1"/>
    <col min="8755" max="8755" width="2.7109375" style="146" customWidth="1"/>
    <col min="8756" max="8756" width="8.42578125" style="146" customWidth="1"/>
    <col min="8757" max="8757" width="2.7109375" style="146" customWidth="1"/>
    <col min="8758" max="8758" width="13.7109375" style="146" customWidth="1"/>
    <col min="8759" max="8759" width="2.7109375" style="146" customWidth="1"/>
    <col min="8760" max="8760" width="9.7109375" style="146" customWidth="1"/>
    <col min="8761" max="8761" width="2.7109375" style="146" customWidth="1"/>
    <col min="8762" max="8762" width="1" style="146" customWidth="1"/>
    <col min="8763" max="8763" width="6.7109375" style="146" customWidth="1"/>
    <col min="8764" max="8764" width="8.140625" style="146" customWidth="1"/>
    <col min="8765" max="8765" width="7.85546875" style="146" customWidth="1"/>
    <col min="8766" max="8766" width="8.28515625" style="146" customWidth="1"/>
    <col min="8767" max="8768" width="9.140625" style="146" customWidth="1"/>
    <col min="8769" max="8769" width="32.5703125" style="146" customWidth="1"/>
    <col min="8770" max="8770" width="9.140625" style="146" customWidth="1"/>
    <col min="8771" max="8771" width="3.140625" style="146" customWidth="1"/>
    <col min="8772" max="8772" width="13.85546875" style="146" customWidth="1"/>
    <col min="8773" max="8773" width="4.140625" style="146" customWidth="1"/>
    <col min="8774" max="8774" width="18.28515625" style="146" customWidth="1"/>
    <col min="8775" max="8775" width="1.5703125" style="146" customWidth="1"/>
    <col min="8776" max="8776" width="6" style="146" customWidth="1"/>
    <col min="8777" max="8777" width="2.5703125" style="146" customWidth="1"/>
    <col min="8778" max="8778" width="10.28515625" style="146" customWidth="1"/>
    <col min="8779" max="8779" width="5.42578125" style="146" customWidth="1"/>
    <col min="8780" max="8950" width="9.140625" style="146"/>
    <col min="8951" max="8951" width="2.28515625" style="146" customWidth="1"/>
    <col min="8952" max="8952" width="11" style="146" customWidth="1"/>
    <col min="8953" max="8953" width="13.140625" style="146" customWidth="1"/>
    <col min="8954" max="8954" width="12.140625" style="146" customWidth="1"/>
    <col min="8955" max="8955" width="7.42578125" style="146" customWidth="1"/>
    <col min="8956" max="8956" width="8.42578125" style="146" customWidth="1"/>
    <col min="8957" max="8957" width="8.140625" style="146" customWidth="1"/>
    <col min="8958" max="8958" width="5.85546875" style="146" customWidth="1"/>
    <col min="8959" max="8959" width="5.7109375" style="146" customWidth="1"/>
    <col min="8960" max="8960" width="8" style="146" customWidth="1"/>
    <col min="8961" max="8961" width="6.5703125" style="146" customWidth="1"/>
    <col min="8962" max="8962" width="6.85546875" style="146" customWidth="1"/>
    <col min="8963" max="8963" width="6.28515625" style="146" customWidth="1"/>
    <col min="8964" max="8964" width="6.5703125" style="146" customWidth="1"/>
    <col min="8965" max="8965" width="5.28515625" style="146" customWidth="1"/>
    <col min="8966" max="8966" width="6.140625" style="146" customWidth="1"/>
    <col min="8967" max="8968" width="5.42578125" style="146" customWidth="1"/>
    <col min="8969" max="8969" width="6.7109375" style="146" customWidth="1"/>
    <col min="8970" max="8970" width="6.5703125" style="146" customWidth="1"/>
    <col min="8971" max="8971" width="6.42578125" style="146" customWidth="1"/>
    <col min="8972" max="8972" width="6.5703125" style="146" customWidth="1"/>
    <col min="8973" max="8973" width="5.85546875" style="146" customWidth="1"/>
    <col min="8974" max="8974" width="6.28515625" style="146" customWidth="1"/>
    <col min="8975" max="8996" width="0" style="146" hidden="1" customWidth="1"/>
    <col min="8997" max="8997" width="0.7109375" style="146" customWidth="1"/>
    <col min="8998" max="8998" width="8.42578125" style="146" customWidth="1"/>
    <col min="8999" max="9000" width="0" style="146" hidden="1" customWidth="1"/>
    <col min="9001" max="9001" width="5" style="146" customWidth="1"/>
    <col min="9002" max="9002" width="7.42578125" style="146" customWidth="1"/>
    <col min="9003" max="9003" width="6.42578125" style="146" customWidth="1"/>
    <col min="9004" max="9004" width="6.140625" style="146" customWidth="1"/>
    <col min="9005" max="9005" width="0" style="146" hidden="1" customWidth="1"/>
    <col min="9006" max="9006" width="6.5703125" style="146" customWidth="1"/>
    <col min="9007" max="9008" width="7.5703125" style="146" customWidth="1"/>
    <col min="9009" max="9009" width="2.7109375" style="146" customWidth="1"/>
    <col min="9010" max="9010" width="15.140625" style="146" customWidth="1"/>
    <col min="9011" max="9011" width="2.7109375" style="146" customWidth="1"/>
    <col min="9012" max="9012" width="8.42578125" style="146" customWidth="1"/>
    <col min="9013" max="9013" width="2.7109375" style="146" customWidth="1"/>
    <col min="9014" max="9014" width="13.7109375" style="146" customWidth="1"/>
    <col min="9015" max="9015" width="2.7109375" style="146" customWidth="1"/>
    <col min="9016" max="9016" width="9.7109375" style="146" customWidth="1"/>
    <col min="9017" max="9017" width="2.7109375" style="146" customWidth="1"/>
    <col min="9018" max="9018" width="1" style="146" customWidth="1"/>
    <col min="9019" max="9019" width="6.7109375" style="146" customWidth="1"/>
    <col min="9020" max="9020" width="8.140625" style="146" customWidth="1"/>
    <col min="9021" max="9021" width="7.85546875" style="146" customWidth="1"/>
    <col min="9022" max="9022" width="8.28515625" style="146" customWidth="1"/>
    <col min="9023" max="9024" width="9.140625" style="146" customWidth="1"/>
    <col min="9025" max="9025" width="32.5703125" style="146" customWidth="1"/>
    <col min="9026" max="9026" width="9.140625" style="146" customWidth="1"/>
    <col min="9027" max="9027" width="3.140625" style="146" customWidth="1"/>
    <col min="9028" max="9028" width="13.85546875" style="146" customWidth="1"/>
    <col min="9029" max="9029" width="4.140625" style="146" customWidth="1"/>
    <col min="9030" max="9030" width="18.28515625" style="146" customWidth="1"/>
    <col min="9031" max="9031" width="1.5703125" style="146" customWidth="1"/>
    <col min="9032" max="9032" width="6" style="146" customWidth="1"/>
    <col min="9033" max="9033" width="2.5703125" style="146" customWidth="1"/>
    <col min="9034" max="9034" width="10.28515625" style="146" customWidth="1"/>
    <col min="9035" max="9035" width="5.42578125" style="146" customWidth="1"/>
    <col min="9036" max="9206" width="9.140625" style="146"/>
    <col min="9207" max="9207" width="2.28515625" style="146" customWidth="1"/>
    <col min="9208" max="9208" width="11" style="146" customWidth="1"/>
    <col min="9209" max="9209" width="13.140625" style="146" customWidth="1"/>
    <col min="9210" max="9210" width="12.140625" style="146" customWidth="1"/>
    <col min="9211" max="9211" width="7.42578125" style="146" customWidth="1"/>
    <col min="9212" max="9212" width="8.42578125" style="146" customWidth="1"/>
    <col min="9213" max="9213" width="8.140625" style="146" customWidth="1"/>
    <col min="9214" max="9214" width="5.85546875" style="146" customWidth="1"/>
    <col min="9215" max="9215" width="5.7109375" style="146" customWidth="1"/>
    <col min="9216" max="9216" width="8" style="146" customWidth="1"/>
    <col min="9217" max="9217" width="6.5703125" style="146" customWidth="1"/>
    <col min="9218" max="9218" width="6.85546875" style="146" customWidth="1"/>
    <col min="9219" max="9219" width="6.28515625" style="146" customWidth="1"/>
    <col min="9220" max="9220" width="6.5703125" style="146" customWidth="1"/>
    <col min="9221" max="9221" width="5.28515625" style="146" customWidth="1"/>
    <col min="9222" max="9222" width="6.140625" style="146" customWidth="1"/>
    <col min="9223" max="9224" width="5.42578125" style="146" customWidth="1"/>
    <col min="9225" max="9225" width="6.7109375" style="146" customWidth="1"/>
    <col min="9226" max="9226" width="6.5703125" style="146" customWidth="1"/>
    <col min="9227" max="9227" width="6.42578125" style="146" customWidth="1"/>
    <col min="9228" max="9228" width="6.5703125" style="146" customWidth="1"/>
    <col min="9229" max="9229" width="5.85546875" style="146" customWidth="1"/>
    <col min="9230" max="9230" width="6.28515625" style="146" customWidth="1"/>
    <col min="9231" max="9252" width="0" style="146" hidden="1" customWidth="1"/>
    <col min="9253" max="9253" width="0.7109375" style="146" customWidth="1"/>
    <col min="9254" max="9254" width="8.42578125" style="146" customWidth="1"/>
    <col min="9255" max="9256" width="0" style="146" hidden="1" customWidth="1"/>
    <col min="9257" max="9257" width="5" style="146" customWidth="1"/>
    <col min="9258" max="9258" width="7.42578125" style="146" customWidth="1"/>
    <col min="9259" max="9259" width="6.42578125" style="146" customWidth="1"/>
    <col min="9260" max="9260" width="6.140625" style="146" customWidth="1"/>
    <col min="9261" max="9261" width="0" style="146" hidden="1" customWidth="1"/>
    <col min="9262" max="9262" width="6.5703125" style="146" customWidth="1"/>
    <col min="9263" max="9264" width="7.5703125" style="146" customWidth="1"/>
    <col min="9265" max="9265" width="2.7109375" style="146" customWidth="1"/>
    <col min="9266" max="9266" width="15.140625" style="146" customWidth="1"/>
    <col min="9267" max="9267" width="2.7109375" style="146" customWidth="1"/>
    <col min="9268" max="9268" width="8.42578125" style="146" customWidth="1"/>
    <col min="9269" max="9269" width="2.7109375" style="146" customWidth="1"/>
    <col min="9270" max="9270" width="13.7109375" style="146" customWidth="1"/>
    <col min="9271" max="9271" width="2.7109375" style="146" customWidth="1"/>
    <col min="9272" max="9272" width="9.7109375" style="146" customWidth="1"/>
    <col min="9273" max="9273" width="2.7109375" style="146" customWidth="1"/>
    <col min="9274" max="9274" width="1" style="146" customWidth="1"/>
    <col min="9275" max="9275" width="6.7109375" style="146" customWidth="1"/>
    <col min="9276" max="9276" width="8.140625" style="146" customWidth="1"/>
    <col min="9277" max="9277" width="7.85546875" style="146" customWidth="1"/>
    <col min="9278" max="9278" width="8.28515625" style="146" customWidth="1"/>
    <col min="9279" max="9280" width="9.140625" style="146" customWidth="1"/>
    <col min="9281" max="9281" width="32.5703125" style="146" customWidth="1"/>
    <col min="9282" max="9282" width="9.140625" style="146" customWidth="1"/>
    <col min="9283" max="9283" width="3.140625" style="146" customWidth="1"/>
    <col min="9284" max="9284" width="13.85546875" style="146" customWidth="1"/>
    <col min="9285" max="9285" width="4.140625" style="146" customWidth="1"/>
    <col min="9286" max="9286" width="18.28515625" style="146" customWidth="1"/>
    <col min="9287" max="9287" width="1.5703125" style="146" customWidth="1"/>
    <col min="9288" max="9288" width="6" style="146" customWidth="1"/>
    <col min="9289" max="9289" width="2.5703125" style="146" customWidth="1"/>
    <col min="9290" max="9290" width="10.28515625" style="146" customWidth="1"/>
    <col min="9291" max="9291" width="5.42578125" style="146" customWidth="1"/>
    <col min="9292" max="9462" width="9.140625" style="146"/>
    <col min="9463" max="9463" width="2.28515625" style="146" customWidth="1"/>
    <col min="9464" max="9464" width="11" style="146" customWidth="1"/>
    <col min="9465" max="9465" width="13.140625" style="146" customWidth="1"/>
    <col min="9466" max="9466" width="12.140625" style="146" customWidth="1"/>
    <col min="9467" max="9467" width="7.42578125" style="146" customWidth="1"/>
    <col min="9468" max="9468" width="8.42578125" style="146" customWidth="1"/>
    <col min="9469" max="9469" width="8.140625" style="146" customWidth="1"/>
    <col min="9470" max="9470" width="5.85546875" style="146" customWidth="1"/>
    <col min="9471" max="9471" width="5.7109375" style="146" customWidth="1"/>
    <col min="9472" max="9472" width="8" style="146" customWidth="1"/>
    <col min="9473" max="9473" width="6.5703125" style="146" customWidth="1"/>
    <col min="9474" max="9474" width="6.85546875" style="146" customWidth="1"/>
    <col min="9475" max="9475" width="6.28515625" style="146" customWidth="1"/>
    <col min="9476" max="9476" width="6.5703125" style="146" customWidth="1"/>
    <col min="9477" max="9477" width="5.28515625" style="146" customWidth="1"/>
    <col min="9478" max="9478" width="6.140625" style="146" customWidth="1"/>
    <col min="9479" max="9480" width="5.42578125" style="146" customWidth="1"/>
    <col min="9481" max="9481" width="6.7109375" style="146" customWidth="1"/>
    <col min="9482" max="9482" width="6.5703125" style="146" customWidth="1"/>
    <col min="9483" max="9483" width="6.42578125" style="146" customWidth="1"/>
    <col min="9484" max="9484" width="6.5703125" style="146" customWidth="1"/>
    <col min="9485" max="9485" width="5.85546875" style="146" customWidth="1"/>
    <col min="9486" max="9486" width="6.28515625" style="146" customWidth="1"/>
    <col min="9487" max="9508" width="0" style="146" hidden="1" customWidth="1"/>
    <col min="9509" max="9509" width="0.7109375" style="146" customWidth="1"/>
    <col min="9510" max="9510" width="8.42578125" style="146" customWidth="1"/>
    <col min="9511" max="9512" width="0" style="146" hidden="1" customWidth="1"/>
    <col min="9513" max="9513" width="5" style="146" customWidth="1"/>
    <col min="9514" max="9514" width="7.42578125" style="146" customWidth="1"/>
    <col min="9515" max="9515" width="6.42578125" style="146" customWidth="1"/>
    <col min="9516" max="9516" width="6.140625" style="146" customWidth="1"/>
    <col min="9517" max="9517" width="0" style="146" hidden="1" customWidth="1"/>
    <col min="9518" max="9518" width="6.5703125" style="146" customWidth="1"/>
    <col min="9519" max="9520" width="7.5703125" style="146" customWidth="1"/>
    <col min="9521" max="9521" width="2.7109375" style="146" customWidth="1"/>
    <col min="9522" max="9522" width="15.140625" style="146" customWidth="1"/>
    <col min="9523" max="9523" width="2.7109375" style="146" customWidth="1"/>
    <col min="9524" max="9524" width="8.42578125" style="146" customWidth="1"/>
    <col min="9525" max="9525" width="2.7109375" style="146" customWidth="1"/>
    <col min="9526" max="9526" width="13.7109375" style="146" customWidth="1"/>
    <col min="9527" max="9527" width="2.7109375" style="146" customWidth="1"/>
    <col min="9528" max="9528" width="9.7109375" style="146" customWidth="1"/>
    <col min="9529" max="9529" width="2.7109375" style="146" customWidth="1"/>
    <col min="9530" max="9530" width="1" style="146" customWidth="1"/>
    <col min="9531" max="9531" width="6.7109375" style="146" customWidth="1"/>
    <col min="9532" max="9532" width="8.140625" style="146" customWidth="1"/>
    <col min="9533" max="9533" width="7.85546875" style="146" customWidth="1"/>
    <col min="9534" max="9534" width="8.28515625" style="146" customWidth="1"/>
    <col min="9535" max="9536" width="9.140625" style="146" customWidth="1"/>
    <col min="9537" max="9537" width="32.5703125" style="146" customWidth="1"/>
    <col min="9538" max="9538" width="9.140625" style="146" customWidth="1"/>
    <col min="9539" max="9539" width="3.140625" style="146" customWidth="1"/>
    <col min="9540" max="9540" width="13.85546875" style="146" customWidth="1"/>
    <col min="9541" max="9541" width="4.140625" style="146" customWidth="1"/>
    <col min="9542" max="9542" width="18.28515625" style="146" customWidth="1"/>
    <col min="9543" max="9543" width="1.5703125" style="146" customWidth="1"/>
    <col min="9544" max="9544" width="6" style="146" customWidth="1"/>
    <col min="9545" max="9545" width="2.5703125" style="146" customWidth="1"/>
    <col min="9546" max="9546" width="10.28515625" style="146" customWidth="1"/>
    <col min="9547" max="9547" width="5.42578125" style="146" customWidth="1"/>
    <col min="9548" max="9718" width="9.140625" style="146"/>
    <col min="9719" max="9719" width="2.28515625" style="146" customWidth="1"/>
    <col min="9720" max="9720" width="11" style="146" customWidth="1"/>
    <col min="9721" max="9721" width="13.140625" style="146" customWidth="1"/>
    <col min="9722" max="9722" width="12.140625" style="146" customWidth="1"/>
    <col min="9723" max="9723" width="7.42578125" style="146" customWidth="1"/>
    <col min="9724" max="9724" width="8.42578125" style="146" customWidth="1"/>
    <col min="9725" max="9725" width="8.140625" style="146" customWidth="1"/>
    <col min="9726" max="9726" width="5.85546875" style="146" customWidth="1"/>
    <col min="9727" max="9727" width="5.7109375" style="146" customWidth="1"/>
    <col min="9728" max="9728" width="8" style="146" customWidth="1"/>
    <col min="9729" max="9729" width="6.5703125" style="146" customWidth="1"/>
    <col min="9730" max="9730" width="6.85546875" style="146" customWidth="1"/>
    <col min="9731" max="9731" width="6.28515625" style="146" customWidth="1"/>
    <col min="9732" max="9732" width="6.5703125" style="146" customWidth="1"/>
    <col min="9733" max="9733" width="5.28515625" style="146" customWidth="1"/>
    <col min="9734" max="9734" width="6.140625" style="146" customWidth="1"/>
    <col min="9735" max="9736" width="5.42578125" style="146" customWidth="1"/>
    <col min="9737" max="9737" width="6.7109375" style="146" customWidth="1"/>
    <col min="9738" max="9738" width="6.5703125" style="146" customWidth="1"/>
    <col min="9739" max="9739" width="6.42578125" style="146" customWidth="1"/>
    <col min="9740" max="9740" width="6.5703125" style="146" customWidth="1"/>
    <col min="9741" max="9741" width="5.85546875" style="146" customWidth="1"/>
    <col min="9742" max="9742" width="6.28515625" style="146" customWidth="1"/>
    <col min="9743" max="9764" width="0" style="146" hidden="1" customWidth="1"/>
    <col min="9765" max="9765" width="0.7109375" style="146" customWidth="1"/>
    <col min="9766" max="9766" width="8.42578125" style="146" customWidth="1"/>
    <col min="9767" max="9768" width="0" style="146" hidden="1" customWidth="1"/>
    <col min="9769" max="9769" width="5" style="146" customWidth="1"/>
    <col min="9770" max="9770" width="7.42578125" style="146" customWidth="1"/>
    <col min="9771" max="9771" width="6.42578125" style="146" customWidth="1"/>
    <col min="9772" max="9772" width="6.140625" style="146" customWidth="1"/>
    <col min="9773" max="9773" width="0" style="146" hidden="1" customWidth="1"/>
    <col min="9774" max="9774" width="6.5703125" style="146" customWidth="1"/>
    <col min="9775" max="9776" width="7.5703125" style="146" customWidth="1"/>
    <col min="9777" max="9777" width="2.7109375" style="146" customWidth="1"/>
    <col min="9778" max="9778" width="15.140625" style="146" customWidth="1"/>
    <col min="9779" max="9779" width="2.7109375" style="146" customWidth="1"/>
    <col min="9780" max="9780" width="8.42578125" style="146" customWidth="1"/>
    <col min="9781" max="9781" width="2.7109375" style="146" customWidth="1"/>
    <col min="9782" max="9782" width="13.7109375" style="146" customWidth="1"/>
    <col min="9783" max="9783" width="2.7109375" style="146" customWidth="1"/>
    <col min="9784" max="9784" width="9.7109375" style="146" customWidth="1"/>
    <col min="9785" max="9785" width="2.7109375" style="146" customWidth="1"/>
    <col min="9786" max="9786" width="1" style="146" customWidth="1"/>
    <col min="9787" max="9787" width="6.7109375" style="146" customWidth="1"/>
    <col min="9788" max="9788" width="8.140625" style="146" customWidth="1"/>
    <col min="9789" max="9789" width="7.85546875" style="146" customWidth="1"/>
    <col min="9790" max="9790" width="8.28515625" style="146" customWidth="1"/>
    <col min="9791" max="9792" width="9.140625" style="146" customWidth="1"/>
    <col min="9793" max="9793" width="32.5703125" style="146" customWidth="1"/>
    <col min="9794" max="9794" width="9.140625" style="146" customWidth="1"/>
    <col min="9795" max="9795" width="3.140625" style="146" customWidth="1"/>
    <col min="9796" max="9796" width="13.85546875" style="146" customWidth="1"/>
    <col min="9797" max="9797" width="4.140625" style="146" customWidth="1"/>
    <col min="9798" max="9798" width="18.28515625" style="146" customWidth="1"/>
    <col min="9799" max="9799" width="1.5703125" style="146" customWidth="1"/>
    <col min="9800" max="9800" width="6" style="146" customWidth="1"/>
    <col min="9801" max="9801" width="2.5703125" style="146" customWidth="1"/>
    <col min="9802" max="9802" width="10.28515625" style="146" customWidth="1"/>
    <col min="9803" max="9803" width="5.42578125" style="146" customWidth="1"/>
    <col min="9804" max="9974" width="9.140625" style="146"/>
    <col min="9975" max="9975" width="2.28515625" style="146" customWidth="1"/>
    <col min="9976" max="9976" width="11" style="146" customWidth="1"/>
    <col min="9977" max="9977" width="13.140625" style="146" customWidth="1"/>
    <col min="9978" max="9978" width="12.140625" style="146" customWidth="1"/>
    <col min="9979" max="9979" width="7.42578125" style="146" customWidth="1"/>
    <col min="9980" max="9980" width="8.42578125" style="146" customWidth="1"/>
    <col min="9981" max="9981" width="8.140625" style="146" customWidth="1"/>
    <col min="9982" max="9982" width="5.85546875" style="146" customWidth="1"/>
    <col min="9983" max="9983" width="5.7109375" style="146" customWidth="1"/>
    <col min="9984" max="9984" width="8" style="146" customWidth="1"/>
    <col min="9985" max="9985" width="6.5703125" style="146" customWidth="1"/>
    <col min="9986" max="9986" width="6.85546875" style="146" customWidth="1"/>
    <col min="9987" max="9987" width="6.28515625" style="146" customWidth="1"/>
    <col min="9988" max="9988" width="6.5703125" style="146" customWidth="1"/>
    <col min="9989" max="9989" width="5.28515625" style="146" customWidth="1"/>
    <col min="9990" max="9990" width="6.140625" style="146" customWidth="1"/>
    <col min="9991" max="9992" width="5.42578125" style="146" customWidth="1"/>
    <col min="9993" max="9993" width="6.7109375" style="146" customWidth="1"/>
    <col min="9994" max="9994" width="6.5703125" style="146" customWidth="1"/>
    <col min="9995" max="9995" width="6.42578125" style="146" customWidth="1"/>
    <col min="9996" max="9996" width="6.5703125" style="146" customWidth="1"/>
    <col min="9997" max="9997" width="5.85546875" style="146" customWidth="1"/>
    <col min="9998" max="9998" width="6.28515625" style="146" customWidth="1"/>
    <col min="9999" max="10020" width="0" style="146" hidden="1" customWidth="1"/>
    <col min="10021" max="10021" width="0.7109375" style="146" customWidth="1"/>
    <col min="10022" max="10022" width="8.42578125" style="146" customWidth="1"/>
    <col min="10023" max="10024" width="0" style="146" hidden="1" customWidth="1"/>
    <col min="10025" max="10025" width="5" style="146" customWidth="1"/>
    <col min="10026" max="10026" width="7.42578125" style="146" customWidth="1"/>
    <col min="10027" max="10027" width="6.42578125" style="146" customWidth="1"/>
    <col min="10028" max="10028" width="6.140625" style="146" customWidth="1"/>
    <col min="10029" max="10029" width="0" style="146" hidden="1" customWidth="1"/>
    <col min="10030" max="10030" width="6.5703125" style="146" customWidth="1"/>
    <col min="10031" max="10032" width="7.5703125" style="146" customWidth="1"/>
    <col min="10033" max="10033" width="2.7109375" style="146" customWidth="1"/>
    <col min="10034" max="10034" width="15.140625" style="146" customWidth="1"/>
    <col min="10035" max="10035" width="2.7109375" style="146" customWidth="1"/>
    <col min="10036" max="10036" width="8.42578125" style="146" customWidth="1"/>
    <col min="10037" max="10037" width="2.7109375" style="146" customWidth="1"/>
    <col min="10038" max="10038" width="13.7109375" style="146" customWidth="1"/>
    <col min="10039" max="10039" width="2.7109375" style="146" customWidth="1"/>
    <col min="10040" max="10040" width="9.7109375" style="146" customWidth="1"/>
    <col min="10041" max="10041" width="2.7109375" style="146" customWidth="1"/>
    <col min="10042" max="10042" width="1" style="146" customWidth="1"/>
    <col min="10043" max="10043" width="6.7109375" style="146" customWidth="1"/>
    <col min="10044" max="10044" width="8.140625" style="146" customWidth="1"/>
    <col min="10045" max="10045" width="7.85546875" style="146" customWidth="1"/>
    <col min="10046" max="10046" width="8.28515625" style="146" customWidth="1"/>
    <col min="10047" max="10048" width="9.140625" style="146" customWidth="1"/>
    <col min="10049" max="10049" width="32.5703125" style="146" customWidth="1"/>
    <col min="10050" max="10050" width="9.140625" style="146" customWidth="1"/>
    <col min="10051" max="10051" width="3.140625" style="146" customWidth="1"/>
    <col min="10052" max="10052" width="13.85546875" style="146" customWidth="1"/>
    <col min="10053" max="10053" width="4.140625" style="146" customWidth="1"/>
    <col min="10054" max="10054" width="18.28515625" style="146" customWidth="1"/>
    <col min="10055" max="10055" width="1.5703125" style="146" customWidth="1"/>
    <col min="10056" max="10056" width="6" style="146" customWidth="1"/>
    <col min="10057" max="10057" width="2.5703125" style="146" customWidth="1"/>
    <col min="10058" max="10058" width="10.28515625" style="146" customWidth="1"/>
    <col min="10059" max="10059" width="5.42578125" style="146" customWidth="1"/>
    <col min="10060" max="10230" width="9.140625" style="146"/>
    <col min="10231" max="10231" width="2.28515625" style="146" customWidth="1"/>
    <col min="10232" max="10232" width="11" style="146" customWidth="1"/>
    <col min="10233" max="10233" width="13.140625" style="146" customWidth="1"/>
    <col min="10234" max="10234" width="12.140625" style="146" customWidth="1"/>
    <col min="10235" max="10235" width="7.42578125" style="146" customWidth="1"/>
    <col min="10236" max="10236" width="8.42578125" style="146" customWidth="1"/>
    <col min="10237" max="10237" width="8.140625" style="146" customWidth="1"/>
    <col min="10238" max="10238" width="5.85546875" style="146" customWidth="1"/>
    <col min="10239" max="10239" width="5.7109375" style="146" customWidth="1"/>
    <col min="10240" max="10240" width="8" style="146" customWidth="1"/>
    <col min="10241" max="10241" width="6.5703125" style="146" customWidth="1"/>
    <col min="10242" max="10242" width="6.85546875" style="146" customWidth="1"/>
    <col min="10243" max="10243" width="6.28515625" style="146" customWidth="1"/>
    <col min="10244" max="10244" width="6.5703125" style="146" customWidth="1"/>
    <col min="10245" max="10245" width="5.28515625" style="146" customWidth="1"/>
    <col min="10246" max="10246" width="6.140625" style="146" customWidth="1"/>
    <col min="10247" max="10248" width="5.42578125" style="146" customWidth="1"/>
    <col min="10249" max="10249" width="6.7109375" style="146" customWidth="1"/>
    <col min="10250" max="10250" width="6.5703125" style="146" customWidth="1"/>
    <col min="10251" max="10251" width="6.42578125" style="146" customWidth="1"/>
    <col min="10252" max="10252" width="6.5703125" style="146" customWidth="1"/>
    <col min="10253" max="10253" width="5.85546875" style="146" customWidth="1"/>
    <col min="10254" max="10254" width="6.28515625" style="146" customWidth="1"/>
    <col min="10255" max="10276" width="0" style="146" hidden="1" customWidth="1"/>
    <col min="10277" max="10277" width="0.7109375" style="146" customWidth="1"/>
    <col min="10278" max="10278" width="8.42578125" style="146" customWidth="1"/>
    <col min="10279" max="10280" width="0" style="146" hidden="1" customWidth="1"/>
    <col min="10281" max="10281" width="5" style="146" customWidth="1"/>
    <col min="10282" max="10282" width="7.42578125" style="146" customWidth="1"/>
    <col min="10283" max="10283" width="6.42578125" style="146" customWidth="1"/>
    <col min="10284" max="10284" width="6.140625" style="146" customWidth="1"/>
    <col min="10285" max="10285" width="0" style="146" hidden="1" customWidth="1"/>
    <col min="10286" max="10286" width="6.5703125" style="146" customWidth="1"/>
    <col min="10287" max="10288" width="7.5703125" style="146" customWidth="1"/>
    <col min="10289" max="10289" width="2.7109375" style="146" customWidth="1"/>
    <col min="10290" max="10290" width="15.140625" style="146" customWidth="1"/>
    <col min="10291" max="10291" width="2.7109375" style="146" customWidth="1"/>
    <col min="10292" max="10292" width="8.42578125" style="146" customWidth="1"/>
    <col min="10293" max="10293" width="2.7109375" style="146" customWidth="1"/>
    <col min="10294" max="10294" width="13.7109375" style="146" customWidth="1"/>
    <col min="10295" max="10295" width="2.7109375" style="146" customWidth="1"/>
    <col min="10296" max="10296" width="9.7109375" style="146" customWidth="1"/>
    <col min="10297" max="10297" width="2.7109375" style="146" customWidth="1"/>
    <col min="10298" max="10298" width="1" style="146" customWidth="1"/>
    <col min="10299" max="10299" width="6.7109375" style="146" customWidth="1"/>
    <col min="10300" max="10300" width="8.140625" style="146" customWidth="1"/>
    <col min="10301" max="10301" width="7.85546875" style="146" customWidth="1"/>
    <col min="10302" max="10302" width="8.28515625" style="146" customWidth="1"/>
    <col min="10303" max="10304" width="9.140625" style="146" customWidth="1"/>
    <col min="10305" max="10305" width="32.5703125" style="146" customWidth="1"/>
    <col min="10306" max="10306" width="9.140625" style="146" customWidth="1"/>
    <col min="10307" max="10307" width="3.140625" style="146" customWidth="1"/>
    <col min="10308" max="10308" width="13.85546875" style="146" customWidth="1"/>
    <col min="10309" max="10309" width="4.140625" style="146" customWidth="1"/>
    <col min="10310" max="10310" width="18.28515625" style="146" customWidth="1"/>
    <col min="10311" max="10311" width="1.5703125" style="146" customWidth="1"/>
    <col min="10312" max="10312" width="6" style="146" customWidth="1"/>
    <col min="10313" max="10313" width="2.5703125" style="146" customWidth="1"/>
    <col min="10314" max="10314" width="10.28515625" style="146" customWidth="1"/>
    <col min="10315" max="10315" width="5.42578125" style="146" customWidth="1"/>
    <col min="10316" max="10486" width="9.140625" style="146"/>
    <col min="10487" max="10487" width="2.28515625" style="146" customWidth="1"/>
    <col min="10488" max="10488" width="11" style="146" customWidth="1"/>
    <col min="10489" max="10489" width="13.140625" style="146" customWidth="1"/>
    <col min="10490" max="10490" width="12.140625" style="146" customWidth="1"/>
    <col min="10491" max="10491" width="7.42578125" style="146" customWidth="1"/>
    <col min="10492" max="10492" width="8.42578125" style="146" customWidth="1"/>
    <col min="10493" max="10493" width="8.140625" style="146" customWidth="1"/>
    <col min="10494" max="10494" width="5.85546875" style="146" customWidth="1"/>
    <col min="10495" max="10495" width="5.7109375" style="146" customWidth="1"/>
    <col min="10496" max="10496" width="8" style="146" customWidth="1"/>
    <col min="10497" max="10497" width="6.5703125" style="146" customWidth="1"/>
    <col min="10498" max="10498" width="6.85546875" style="146" customWidth="1"/>
    <col min="10499" max="10499" width="6.28515625" style="146" customWidth="1"/>
    <col min="10500" max="10500" width="6.5703125" style="146" customWidth="1"/>
    <col min="10501" max="10501" width="5.28515625" style="146" customWidth="1"/>
    <col min="10502" max="10502" width="6.140625" style="146" customWidth="1"/>
    <col min="10503" max="10504" width="5.42578125" style="146" customWidth="1"/>
    <col min="10505" max="10505" width="6.7109375" style="146" customWidth="1"/>
    <col min="10506" max="10506" width="6.5703125" style="146" customWidth="1"/>
    <col min="10507" max="10507" width="6.42578125" style="146" customWidth="1"/>
    <col min="10508" max="10508" width="6.5703125" style="146" customWidth="1"/>
    <col min="10509" max="10509" width="5.85546875" style="146" customWidth="1"/>
    <col min="10510" max="10510" width="6.28515625" style="146" customWidth="1"/>
    <col min="10511" max="10532" width="0" style="146" hidden="1" customWidth="1"/>
    <col min="10533" max="10533" width="0.7109375" style="146" customWidth="1"/>
    <col min="10534" max="10534" width="8.42578125" style="146" customWidth="1"/>
    <col min="10535" max="10536" width="0" style="146" hidden="1" customWidth="1"/>
    <col min="10537" max="10537" width="5" style="146" customWidth="1"/>
    <col min="10538" max="10538" width="7.42578125" style="146" customWidth="1"/>
    <col min="10539" max="10539" width="6.42578125" style="146" customWidth="1"/>
    <col min="10540" max="10540" width="6.140625" style="146" customWidth="1"/>
    <col min="10541" max="10541" width="0" style="146" hidden="1" customWidth="1"/>
    <col min="10542" max="10542" width="6.5703125" style="146" customWidth="1"/>
    <col min="10543" max="10544" width="7.5703125" style="146" customWidth="1"/>
    <col min="10545" max="10545" width="2.7109375" style="146" customWidth="1"/>
    <col min="10546" max="10546" width="15.140625" style="146" customWidth="1"/>
    <col min="10547" max="10547" width="2.7109375" style="146" customWidth="1"/>
    <col min="10548" max="10548" width="8.42578125" style="146" customWidth="1"/>
    <col min="10549" max="10549" width="2.7109375" style="146" customWidth="1"/>
    <col min="10550" max="10550" width="13.7109375" style="146" customWidth="1"/>
    <col min="10551" max="10551" width="2.7109375" style="146" customWidth="1"/>
    <col min="10552" max="10552" width="9.7109375" style="146" customWidth="1"/>
    <col min="10553" max="10553" width="2.7109375" style="146" customWidth="1"/>
    <col min="10554" max="10554" width="1" style="146" customWidth="1"/>
    <col min="10555" max="10555" width="6.7109375" style="146" customWidth="1"/>
    <col min="10556" max="10556" width="8.140625" style="146" customWidth="1"/>
    <col min="10557" max="10557" width="7.85546875" style="146" customWidth="1"/>
    <col min="10558" max="10558" width="8.28515625" style="146" customWidth="1"/>
    <col min="10559" max="10560" width="9.140625" style="146" customWidth="1"/>
    <col min="10561" max="10561" width="32.5703125" style="146" customWidth="1"/>
    <col min="10562" max="10562" width="9.140625" style="146" customWidth="1"/>
    <col min="10563" max="10563" width="3.140625" style="146" customWidth="1"/>
    <col min="10564" max="10564" width="13.85546875" style="146" customWidth="1"/>
    <col min="10565" max="10565" width="4.140625" style="146" customWidth="1"/>
    <col min="10566" max="10566" width="18.28515625" style="146" customWidth="1"/>
    <col min="10567" max="10567" width="1.5703125" style="146" customWidth="1"/>
    <col min="10568" max="10568" width="6" style="146" customWidth="1"/>
    <col min="10569" max="10569" width="2.5703125" style="146" customWidth="1"/>
    <col min="10570" max="10570" width="10.28515625" style="146" customWidth="1"/>
    <col min="10571" max="10571" width="5.42578125" style="146" customWidth="1"/>
    <col min="10572" max="10742" width="9.140625" style="146"/>
    <col min="10743" max="10743" width="2.28515625" style="146" customWidth="1"/>
    <col min="10744" max="10744" width="11" style="146" customWidth="1"/>
    <col min="10745" max="10745" width="13.140625" style="146" customWidth="1"/>
    <col min="10746" max="10746" width="12.140625" style="146" customWidth="1"/>
    <col min="10747" max="10747" width="7.42578125" style="146" customWidth="1"/>
    <col min="10748" max="10748" width="8.42578125" style="146" customWidth="1"/>
    <col min="10749" max="10749" width="8.140625" style="146" customWidth="1"/>
    <col min="10750" max="10750" width="5.85546875" style="146" customWidth="1"/>
    <col min="10751" max="10751" width="5.7109375" style="146" customWidth="1"/>
    <col min="10752" max="10752" width="8" style="146" customWidth="1"/>
    <col min="10753" max="10753" width="6.5703125" style="146" customWidth="1"/>
    <col min="10754" max="10754" width="6.85546875" style="146" customWidth="1"/>
    <col min="10755" max="10755" width="6.28515625" style="146" customWidth="1"/>
    <col min="10756" max="10756" width="6.5703125" style="146" customWidth="1"/>
    <col min="10757" max="10757" width="5.28515625" style="146" customWidth="1"/>
    <col min="10758" max="10758" width="6.140625" style="146" customWidth="1"/>
    <col min="10759" max="10760" width="5.42578125" style="146" customWidth="1"/>
    <col min="10761" max="10761" width="6.7109375" style="146" customWidth="1"/>
    <col min="10762" max="10762" width="6.5703125" style="146" customWidth="1"/>
    <col min="10763" max="10763" width="6.42578125" style="146" customWidth="1"/>
    <col min="10764" max="10764" width="6.5703125" style="146" customWidth="1"/>
    <col min="10765" max="10765" width="5.85546875" style="146" customWidth="1"/>
    <col min="10766" max="10766" width="6.28515625" style="146" customWidth="1"/>
    <col min="10767" max="10788" width="0" style="146" hidden="1" customWidth="1"/>
    <col min="10789" max="10789" width="0.7109375" style="146" customWidth="1"/>
    <col min="10790" max="10790" width="8.42578125" style="146" customWidth="1"/>
    <col min="10791" max="10792" width="0" style="146" hidden="1" customWidth="1"/>
    <col min="10793" max="10793" width="5" style="146" customWidth="1"/>
    <col min="10794" max="10794" width="7.42578125" style="146" customWidth="1"/>
    <col min="10795" max="10795" width="6.42578125" style="146" customWidth="1"/>
    <col min="10796" max="10796" width="6.140625" style="146" customWidth="1"/>
    <col min="10797" max="10797" width="0" style="146" hidden="1" customWidth="1"/>
    <col min="10798" max="10798" width="6.5703125" style="146" customWidth="1"/>
    <col min="10799" max="10800" width="7.5703125" style="146" customWidth="1"/>
    <col min="10801" max="10801" width="2.7109375" style="146" customWidth="1"/>
    <col min="10802" max="10802" width="15.140625" style="146" customWidth="1"/>
    <col min="10803" max="10803" width="2.7109375" style="146" customWidth="1"/>
    <col min="10804" max="10804" width="8.42578125" style="146" customWidth="1"/>
    <col min="10805" max="10805" width="2.7109375" style="146" customWidth="1"/>
    <col min="10806" max="10806" width="13.7109375" style="146" customWidth="1"/>
    <col min="10807" max="10807" width="2.7109375" style="146" customWidth="1"/>
    <col min="10808" max="10808" width="9.7109375" style="146" customWidth="1"/>
    <col min="10809" max="10809" width="2.7109375" style="146" customWidth="1"/>
    <col min="10810" max="10810" width="1" style="146" customWidth="1"/>
    <col min="10811" max="10811" width="6.7109375" style="146" customWidth="1"/>
    <col min="10812" max="10812" width="8.140625" style="146" customWidth="1"/>
    <col min="10813" max="10813" width="7.85546875" style="146" customWidth="1"/>
    <col min="10814" max="10814" width="8.28515625" style="146" customWidth="1"/>
    <col min="10815" max="10816" width="9.140625" style="146" customWidth="1"/>
    <col min="10817" max="10817" width="32.5703125" style="146" customWidth="1"/>
    <col min="10818" max="10818" width="9.140625" style="146" customWidth="1"/>
    <col min="10819" max="10819" width="3.140625" style="146" customWidth="1"/>
    <col min="10820" max="10820" width="13.85546875" style="146" customWidth="1"/>
    <col min="10821" max="10821" width="4.140625" style="146" customWidth="1"/>
    <col min="10822" max="10822" width="18.28515625" style="146" customWidth="1"/>
    <col min="10823" max="10823" width="1.5703125" style="146" customWidth="1"/>
    <col min="10824" max="10824" width="6" style="146" customWidth="1"/>
    <col min="10825" max="10825" width="2.5703125" style="146" customWidth="1"/>
    <col min="10826" max="10826" width="10.28515625" style="146" customWidth="1"/>
    <col min="10827" max="10827" width="5.42578125" style="146" customWidth="1"/>
    <col min="10828" max="10998" width="9.140625" style="146"/>
    <col min="10999" max="10999" width="2.28515625" style="146" customWidth="1"/>
    <col min="11000" max="11000" width="11" style="146" customWidth="1"/>
    <col min="11001" max="11001" width="13.140625" style="146" customWidth="1"/>
    <col min="11002" max="11002" width="12.140625" style="146" customWidth="1"/>
    <col min="11003" max="11003" width="7.42578125" style="146" customWidth="1"/>
    <col min="11004" max="11004" width="8.42578125" style="146" customWidth="1"/>
    <col min="11005" max="11005" width="8.140625" style="146" customWidth="1"/>
    <col min="11006" max="11006" width="5.85546875" style="146" customWidth="1"/>
    <col min="11007" max="11007" width="5.7109375" style="146" customWidth="1"/>
    <col min="11008" max="11008" width="8" style="146" customWidth="1"/>
    <col min="11009" max="11009" width="6.5703125" style="146" customWidth="1"/>
    <col min="11010" max="11010" width="6.85546875" style="146" customWidth="1"/>
    <col min="11011" max="11011" width="6.28515625" style="146" customWidth="1"/>
    <col min="11012" max="11012" width="6.5703125" style="146" customWidth="1"/>
    <col min="11013" max="11013" width="5.28515625" style="146" customWidth="1"/>
    <col min="11014" max="11014" width="6.140625" style="146" customWidth="1"/>
    <col min="11015" max="11016" width="5.42578125" style="146" customWidth="1"/>
    <col min="11017" max="11017" width="6.7109375" style="146" customWidth="1"/>
    <col min="11018" max="11018" width="6.5703125" style="146" customWidth="1"/>
    <col min="11019" max="11019" width="6.42578125" style="146" customWidth="1"/>
    <col min="11020" max="11020" width="6.5703125" style="146" customWidth="1"/>
    <col min="11021" max="11021" width="5.85546875" style="146" customWidth="1"/>
    <col min="11022" max="11022" width="6.28515625" style="146" customWidth="1"/>
    <col min="11023" max="11044" width="0" style="146" hidden="1" customWidth="1"/>
    <col min="11045" max="11045" width="0.7109375" style="146" customWidth="1"/>
    <col min="11046" max="11046" width="8.42578125" style="146" customWidth="1"/>
    <col min="11047" max="11048" width="0" style="146" hidden="1" customWidth="1"/>
    <col min="11049" max="11049" width="5" style="146" customWidth="1"/>
    <col min="11050" max="11050" width="7.42578125" style="146" customWidth="1"/>
    <col min="11051" max="11051" width="6.42578125" style="146" customWidth="1"/>
    <col min="11052" max="11052" width="6.140625" style="146" customWidth="1"/>
    <col min="11053" max="11053" width="0" style="146" hidden="1" customWidth="1"/>
    <col min="11054" max="11054" width="6.5703125" style="146" customWidth="1"/>
    <col min="11055" max="11056" width="7.5703125" style="146" customWidth="1"/>
    <col min="11057" max="11057" width="2.7109375" style="146" customWidth="1"/>
    <col min="11058" max="11058" width="15.140625" style="146" customWidth="1"/>
    <col min="11059" max="11059" width="2.7109375" style="146" customWidth="1"/>
    <col min="11060" max="11060" width="8.42578125" style="146" customWidth="1"/>
    <col min="11061" max="11061" width="2.7109375" style="146" customWidth="1"/>
    <col min="11062" max="11062" width="13.7109375" style="146" customWidth="1"/>
    <col min="11063" max="11063" width="2.7109375" style="146" customWidth="1"/>
    <col min="11064" max="11064" width="9.7109375" style="146" customWidth="1"/>
    <col min="11065" max="11065" width="2.7109375" style="146" customWidth="1"/>
    <col min="11066" max="11066" width="1" style="146" customWidth="1"/>
    <col min="11067" max="11067" width="6.7109375" style="146" customWidth="1"/>
    <col min="11068" max="11068" width="8.140625" style="146" customWidth="1"/>
    <col min="11069" max="11069" width="7.85546875" style="146" customWidth="1"/>
    <col min="11070" max="11070" width="8.28515625" style="146" customWidth="1"/>
    <col min="11071" max="11072" width="9.140625" style="146" customWidth="1"/>
    <col min="11073" max="11073" width="32.5703125" style="146" customWidth="1"/>
    <col min="11074" max="11074" width="9.140625" style="146" customWidth="1"/>
    <col min="11075" max="11075" width="3.140625" style="146" customWidth="1"/>
    <col min="11076" max="11076" width="13.85546875" style="146" customWidth="1"/>
    <col min="11077" max="11077" width="4.140625" style="146" customWidth="1"/>
    <col min="11078" max="11078" width="18.28515625" style="146" customWidth="1"/>
    <col min="11079" max="11079" width="1.5703125" style="146" customWidth="1"/>
    <col min="11080" max="11080" width="6" style="146" customWidth="1"/>
    <col min="11081" max="11081" width="2.5703125" style="146" customWidth="1"/>
    <col min="11082" max="11082" width="10.28515625" style="146" customWidth="1"/>
    <col min="11083" max="11083" width="5.42578125" style="146" customWidth="1"/>
    <col min="11084" max="11254" width="9.140625" style="146"/>
    <col min="11255" max="11255" width="2.28515625" style="146" customWidth="1"/>
    <col min="11256" max="11256" width="11" style="146" customWidth="1"/>
    <col min="11257" max="11257" width="13.140625" style="146" customWidth="1"/>
    <col min="11258" max="11258" width="12.140625" style="146" customWidth="1"/>
    <col min="11259" max="11259" width="7.42578125" style="146" customWidth="1"/>
    <col min="11260" max="11260" width="8.42578125" style="146" customWidth="1"/>
    <col min="11261" max="11261" width="8.140625" style="146" customWidth="1"/>
    <col min="11262" max="11262" width="5.85546875" style="146" customWidth="1"/>
    <col min="11263" max="11263" width="5.7109375" style="146" customWidth="1"/>
    <col min="11264" max="11264" width="8" style="146" customWidth="1"/>
    <col min="11265" max="11265" width="6.5703125" style="146" customWidth="1"/>
    <col min="11266" max="11266" width="6.85546875" style="146" customWidth="1"/>
    <col min="11267" max="11267" width="6.28515625" style="146" customWidth="1"/>
    <col min="11268" max="11268" width="6.5703125" style="146" customWidth="1"/>
    <col min="11269" max="11269" width="5.28515625" style="146" customWidth="1"/>
    <col min="11270" max="11270" width="6.140625" style="146" customWidth="1"/>
    <col min="11271" max="11272" width="5.42578125" style="146" customWidth="1"/>
    <col min="11273" max="11273" width="6.7109375" style="146" customWidth="1"/>
    <col min="11274" max="11274" width="6.5703125" style="146" customWidth="1"/>
    <col min="11275" max="11275" width="6.42578125" style="146" customWidth="1"/>
    <col min="11276" max="11276" width="6.5703125" style="146" customWidth="1"/>
    <col min="11277" max="11277" width="5.85546875" style="146" customWidth="1"/>
    <col min="11278" max="11278" width="6.28515625" style="146" customWidth="1"/>
    <col min="11279" max="11300" width="0" style="146" hidden="1" customWidth="1"/>
    <col min="11301" max="11301" width="0.7109375" style="146" customWidth="1"/>
    <col min="11302" max="11302" width="8.42578125" style="146" customWidth="1"/>
    <col min="11303" max="11304" width="0" style="146" hidden="1" customWidth="1"/>
    <col min="11305" max="11305" width="5" style="146" customWidth="1"/>
    <col min="11306" max="11306" width="7.42578125" style="146" customWidth="1"/>
    <col min="11307" max="11307" width="6.42578125" style="146" customWidth="1"/>
    <col min="11308" max="11308" width="6.140625" style="146" customWidth="1"/>
    <col min="11309" max="11309" width="0" style="146" hidden="1" customWidth="1"/>
    <col min="11310" max="11310" width="6.5703125" style="146" customWidth="1"/>
    <col min="11311" max="11312" width="7.5703125" style="146" customWidth="1"/>
    <col min="11313" max="11313" width="2.7109375" style="146" customWidth="1"/>
    <col min="11314" max="11314" width="15.140625" style="146" customWidth="1"/>
    <col min="11315" max="11315" width="2.7109375" style="146" customWidth="1"/>
    <col min="11316" max="11316" width="8.42578125" style="146" customWidth="1"/>
    <col min="11317" max="11317" width="2.7109375" style="146" customWidth="1"/>
    <col min="11318" max="11318" width="13.7109375" style="146" customWidth="1"/>
    <col min="11319" max="11319" width="2.7109375" style="146" customWidth="1"/>
    <col min="11320" max="11320" width="9.7109375" style="146" customWidth="1"/>
    <col min="11321" max="11321" width="2.7109375" style="146" customWidth="1"/>
    <col min="11322" max="11322" width="1" style="146" customWidth="1"/>
    <col min="11323" max="11323" width="6.7109375" style="146" customWidth="1"/>
    <col min="11324" max="11324" width="8.140625" style="146" customWidth="1"/>
    <col min="11325" max="11325" width="7.85546875" style="146" customWidth="1"/>
    <col min="11326" max="11326" width="8.28515625" style="146" customWidth="1"/>
    <col min="11327" max="11328" width="9.140625" style="146" customWidth="1"/>
    <col min="11329" max="11329" width="32.5703125" style="146" customWidth="1"/>
    <col min="11330" max="11330" width="9.140625" style="146" customWidth="1"/>
    <col min="11331" max="11331" width="3.140625" style="146" customWidth="1"/>
    <col min="11332" max="11332" width="13.85546875" style="146" customWidth="1"/>
    <col min="11333" max="11333" width="4.140625" style="146" customWidth="1"/>
    <col min="11334" max="11334" width="18.28515625" style="146" customWidth="1"/>
    <col min="11335" max="11335" width="1.5703125" style="146" customWidth="1"/>
    <col min="11336" max="11336" width="6" style="146" customWidth="1"/>
    <col min="11337" max="11337" width="2.5703125" style="146" customWidth="1"/>
    <col min="11338" max="11338" width="10.28515625" style="146" customWidth="1"/>
    <col min="11339" max="11339" width="5.42578125" style="146" customWidth="1"/>
    <col min="11340" max="11510" width="9.140625" style="146"/>
    <col min="11511" max="11511" width="2.28515625" style="146" customWidth="1"/>
    <col min="11512" max="11512" width="11" style="146" customWidth="1"/>
    <col min="11513" max="11513" width="13.140625" style="146" customWidth="1"/>
    <col min="11514" max="11514" width="12.140625" style="146" customWidth="1"/>
    <col min="11515" max="11515" width="7.42578125" style="146" customWidth="1"/>
    <col min="11516" max="11516" width="8.42578125" style="146" customWidth="1"/>
    <col min="11517" max="11517" width="8.140625" style="146" customWidth="1"/>
    <col min="11518" max="11518" width="5.85546875" style="146" customWidth="1"/>
    <col min="11519" max="11519" width="5.7109375" style="146" customWidth="1"/>
    <col min="11520" max="11520" width="8" style="146" customWidth="1"/>
    <col min="11521" max="11521" width="6.5703125" style="146" customWidth="1"/>
    <col min="11522" max="11522" width="6.85546875" style="146" customWidth="1"/>
    <col min="11523" max="11523" width="6.28515625" style="146" customWidth="1"/>
    <col min="11524" max="11524" width="6.5703125" style="146" customWidth="1"/>
    <col min="11525" max="11525" width="5.28515625" style="146" customWidth="1"/>
    <col min="11526" max="11526" width="6.140625" style="146" customWidth="1"/>
    <col min="11527" max="11528" width="5.42578125" style="146" customWidth="1"/>
    <col min="11529" max="11529" width="6.7109375" style="146" customWidth="1"/>
    <col min="11530" max="11530" width="6.5703125" style="146" customWidth="1"/>
    <col min="11531" max="11531" width="6.42578125" style="146" customWidth="1"/>
    <col min="11532" max="11532" width="6.5703125" style="146" customWidth="1"/>
    <col min="11533" max="11533" width="5.85546875" style="146" customWidth="1"/>
    <col min="11534" max="11534" width="6.28515625" style="146" customWidth="1"/>
    <col min="11535" max="11556" width="0" style="146" hidden="1" customWidth="1"/>
    <col min="11557" max="11557" width="0.7109375" style="146" customWidth="1"/>
    <col min="11558" max="11558" width="8.42578125" style="146" customWidth="1"/>
    <col min="11559" max="11560" width="0" style="146" hidden="1" customWidth="1"/>
    <col min="11561" max="11561" width="5" style="146" customWidth="1"/>
    <col min="11562" max="11562" width="7.42578125" style="146" customWidth="1"/>
    <col min="11563" max="11563" width="6.42578125" style="146" customWidth="1"/>
    <col min="11564" max="11564" width="6.140625" style="146" customWidth="1"/>
    <col min="11565" max="11565" width="0" style="146" hidden="1" customWidth="1"/>
    <col min="11566" max="11566" width="6.5703125" style="146" customWidth="1"/>
    <col min="11567" max="11568" width="7.5703125" style="146" customWidth="1"/>
    <col min="11569" max="11569" width="2.7109375" style="146" customWidth="1"/>
    <col min="11570" max="11570" width="15.140625" style="146" customWidth="1"/>
    <col min="11571" max="11571" width="2.7109375" style="146" customWidth="1"/>
    <col min="11572" max="11572" width="8.42578125" style="146" customWidth="1"/>
    <col min="11573" max="11573" width="2.7109375" style="146" customWidth="1"/>
    <col min="11574" max="11574" width="13.7109375" style="146" customWidth="1"/>
    <col min="11575" max="11575" width="2.7109375" style="146" customWidth="1"/>
    <col min="11576" max="11576" width="9.7109375" style="146" customWidth="1"/>
    <col min="11577" max="11577" width="2.7109375" style="146" customWidth="1"/>
    <col min="11578" max="11578" width="1" style="146" customWidth="1"/>
    <col min="11579" max="11579" width="6.7109375" style="146" customWidth="1"/>
    <col min="11580" max="11580" width="8.140625" style="146" customWidth="1"/>
    <col min="11581" max="11581" width="7.85546875" style="146" customWidth="1"/>
    <col min="11582" max="11582" width="8.28515625" style="146" customWidth="1"/>
    <col min="11583" max="11584" width="9.140625" style="146" customWidth="1"/>
    <col min="11585" max="11585" width="32.5703125" style="146" customWidth="1"/>
    <col min="11586" max="11586" width="9.140625" style="146" customWidth="1"/>
    <col min="11587" max="11587" width="3.140625" style="146" customWidth="1"/>
    <col min="11588" max="11588" width="13.85546875" style="146" customWidth="1"/>
    <col min="11589" max="11589" width="4.140625" style="146" customWidth="1"/>
    <col min="11590" max="11590" width="18.28515625" style="146" customWidth="1"/>
    <col min="11591" max="11591" width="1.5703125" style="146" customWidth="1"/>
    <col min="11592" max="11592" width="6" style="146" customWidth="1"/>
    <col min="11593" max="11593" width="2.5703125" style="146" customWidth="1"/>
    <col min="11594" max="11594" width="10.28515625" style="146" customWidth="1"/>
    <col min="11595" max="11595" width="5.42578125" style="146" customWidth="1"/>
    <col min="11596" max="11766" width="9.140625" style="146"/>
    <col min="11767" max="11767" width="2.28515625" style="146" customWidth="1"/>
    <col min="11768" max="11768" width="11" style="146" customWidth="1"/>
    <col min="11769" max="11769" width="13.140625" style="146" customWidth="1"/>
    <col min="11770" max="11770" width="12.140625" style="146" customWidth="1"/>
    <col min="11771" max="11771" width="7.42578125" style="146" customWidth="1"/>
    <col min="11772" max="11772" width="8.42578125" style="146" customWidth="1"/>
    <col min="11773" max="11773" width="8.140625" style="146" customWidth="1"/>
    <col min="11774" max="11774" width="5.85546875" style="146" customWidth="1"/>
    <col min="11775" max="11775" width="5.7109375" style="146" customWidth="1"/>
    <col min="11776" max="11776" width="8" style="146" customWidth="1"/>
    <col min="11777" max="11777" width="6.5703125" style="146" customWidth="1"/>
    <col min="11778" max="11778" width="6.85546875" style="146" customWidth="1"/>
    <col min="11779" max="11779" width="6.28515625" style="146" customWidth="1"/>
    <col min="11780" max="11780" width="6.5703125" style="146" customWidth="1"/>
    <col min="11781" max="11781" width="5.28515625" style="146" customWidth="1"/>
    <col min="11782" max="11782" width="6.140625" style="146" customWidth="1"/>
    <col min="11783" max="11784" width="5.42578125" style="146" customWidth="1"/>
    <col min="11785" max="11785" width="6.7109375" style="146" customWidth="1"/>
    <col min="11786" max="11786" width="6.5703125" style="146" customWidth="1"/>
    <col min="11787" max="11787" width="6.42578125" style="146" customWidth="1"/>
    <col min="11788" max="11788" width="6.5703125" style="146" customWidth="1"/>
    <col min="11789" max="11789" width="5.85546875" style="146" customWidth="1"/>
    <col min="11790" max="11790" width="6.28515625" style="146" customWidth="1"/>
    <col min="11791" max="11812" width="0" style="146" hidden="1" customWidth="1"/>
    <col min="11813" max="11813" width="0.7109375" style="146" customWidth="1"/>
    <col min="11814" max="11814" width="8.42578125" style="146" customWidth="1"/>
    <col min="11815" max="11816" width="0" style="146" hidden="1" customWidth="1"/>
    <col min="11817" max="11817" width="5" style="146" customWidth="1"/>
    <col min="11818" max="11818" width="7.42578125" style="146" customWidth="1"/>
    <col min="11819" max="11819" width="6.42578125" style="146" customWidth="1"/>
    <col min="11820" max="11820" width="6.140625" style="146" customWidth="1"/>
    <col min="11821" max="11821" width="0" style="146" hidden="1" customWidth="1"/>
    <col min="11822" max="11822" width="6.5703125" style="146" customWidth="1"/>
    <col min="11823" max="11824" width="7.5703125" style="146" customWidth="1"/>
    <col min="11825" max="11825" width="2.7109375" style="146" customWidth="1"/>
    <col min="11826" max="11826" width="15.140625" style="146" customWidth="1"/>
    <col min="11827" max="11827" width="2.7109375" style="146" customWidth="1"/>
    <col min="11828" max="11828" width="8.42578125" style="146" customWidth="1"/>
    <col min="11829" max="11829" width="2.7109375" style="146" customWidth="1"/>
    <col min="11830" max="11830" width="13.7109375" style="146" customWidth="1"/>
    <col min="11831" max="11831" width="2.7109375" style="146" customWidth="1"/>
    <col min="11832" max="11832" width="9.7109375" style="146" customWidth="1"/>
    <col min="11833" max="11833" width="2.7109375" style="146" customWidth="1"/>
    <col min="11834" max="11834" width="1" style="146" customWidth="1"/>
    <col min="11835" max="11835" width="6.7109375" style="146" customWidth="1"/>
    <col min="11836" max="11836" width="8.140625" style="146" customWidth="1"/>
    <col min="11837" max="11837" width="7.85546875" style="146" customWidth="1"/>
    <col min="11838" max="11838" width="8.28515625" style="146" customWidth="1"/>
    <col min="11839" max="11840" width="9.140625" style="146" customWidth="1"/>
    <col min="11841" max="11841" width="32.5703125" style="146" customWidth="1"/>
    <col min="11842" max="11842" width="9.140625" style="146" customWidth="1"/>
    <col min="11843" max="11843" width="3.140625" style="146" customWidth="1"/>
    <col min="11844" max="11844" width="13.85546875" style="146" customWidth="1"/>
    <col min="11845" max="11845" width="4.140625" style="146" customWidth="1"/>
    <col min="11846" max="11846" width="18.28515625" style="146" customWidth="1"/>
    <col min="11847" max="11847" width="1.5703125" style="146" customWidth="1"/>
    <col min="11848" max="11848" width="6" style="146" customWidth="1"/>
    <col min="11849" max="11849" width="2.5703125" style="146" customWidth="1"/>
    <col min="11850" max="11850" width="10.28515625" style="146" customWidth="1"/>
    <col min="11851" max="11851" width="5.42578125" style="146" customWidth="1"/>
    <col min="11852" max="12022" width="9.140625" style="146"/>
    <col min="12023" max="12023" width="2.28515625" style="146" customWidth="1"/>
    <col min="12024" max="12024" width="11" style="146" customWidth="1"/>
    <col min="12025" max="12025" width="13.140625" style="146" customWidth="1"/>
    <col min="12026" max="12026" width="12.140625" style="146" customWidth="1"/>
    <col min="12027" max="12027" width="7.42578125" style="146" customWidth="1"/>
    <col min="12028" max="12028" width="8.42578125" style="146" customWidth="1"/>
    <col min="12029" max="12029" width="8.140625" style="146" customWidth="1"/>
    <col min="12030" max="12030" width="5.85546875" style="146" customWidth="1"/>
    <col min="12031" max="12031" width="5.7109375" style="146" customWidth="1"/>
    <col min="12032" max="12032" width="8" style="146" customWidth="1"/>
    <col min="12033" max="12033" width="6.5703125" style="146" customWidth="1"/>
    <col min="12034" max="12034" width="6.85546875" style="146" customWidth="1"/>
    <col min="12035" max="12035" width="6.28515625" style="146" customWidth="1"/>
    <col min="12036" max="12036" width="6.5703125" style="146" customWidth="1"/>
    <col min="12037" max="12037" width="5.28515625" style="146" customWidth="1"/>
    <col min="12038" max="12038" width="6.140625" style="146" customWidth="1"/>
    <col min="12039" max="12040" width="5.42578125" style="146" customWidth="1"/>
    <col min="12041" max="12041" width="6.7109375" style="146" customWidth="1"/>
    <col min="12042" max="12042" width="6.5703125" style="146" customWidth="1"/>
    <col min="12043" max="12043" width="6.42578125" style="146" customWidth="1"/>
    <col min="12044" max="12044" width="6.5703125" style="146" customWidth="1"/>
    <col min="12045" max="12045" width="5.85546875" style="146" customWidth="1"/>
    <col min="12046" max="12046" width="6.28515625" style="146" customWidth="1"/>
    <col min="12047" max="12068" width="0" style="146" hidden="1" customWidth="1"/>
    <col min="12069" max="12069" width="0.7109375" style="146" customWidth="1"/>
    <col min="12070" max="12070" width="8.42578125" style="146" customWidth="1"/>
    <col min="12071" max="12072" width="0" style="146" hidden="1" customWidth="1"/>
    <col min="12073" max="12073" width="5" style="146" customWidth="1"/>
    <col min="12074" max="12074" width="7.42578125" style="146" customWidth="1"/>
    <col min="12075" max="12075" width="6.42578125" style="146" customWidth="1"/>
    <col min="12076" max="12076" width="6.140625" style="146" customWidth="1"/>
    <col min="12077" max="12077" width="0" style="146" hidden="1" customWidth="1"/>
    <col min="12078" max="12078" width="6.5703125" style="146" customWidth="1"/>
    <col min="12079" max="12080" width="7.5703125" style="146" customWidth="1"/>
    <col min="12081" max="12081" width="2.7109375" style="146" customWidth="1"/>
    <col min="12082" max="12082" width="15.140625" style="146" customWidth="1"/>
    <col min="12083" max="12083" width="2.7109375" style="146" customWidth="1"/>
    <col min="12084" max="12084" width="8.42578125" style="146" customWidth="1"/>
    <col min="12085" max="12085" width="2.7109375" style="146" customWidth="1"/>
    <col min="12086" max="12086" width="13.7109375" style="146" customWidth="1"/>
    <col min="12087" max="12087" width="2.7109375" style="146" customWidth="1"/>
    <col min="12088" max="12088" width="9.7109375" style="146" customWidth="1"/>
    <col min="12089" max="12089" width="2.7109375" style="146" customWidth="1"/>
    <col min="12090" max="12090" width="1" style="146" customWidth="1"/>
    <col min="12091" max="12091" width="6.7109375" style="146" customWidth="1"/>
    <col min="12092" max="12092" width="8.140625" style="146" customWidth="1"/>
    <col min="12093" max="12093" width="7.85546875" style="146" customWidth="1"/>
    <col min="12094" max="12094" width="8.28515625" style="146" customWidth="1"/>
    <col min="12095" max="12096" width="9.140625" style="146" customWidth="1"/>
    <col min="12097" max="12097" width="32.5703125" style="146" customWidth="1"/>
    <col min="12098" max="12098" width="9.140625" style="146" customWidth="1"/>
    <col min="12099" max="12099" width="3.140625" style="146" customWidth="1"/>
    <col min="12100" max="12100" width="13.85546875" style="146" customWidth="1"/>
    <col min="12101" max="12101" width="4.140625" style="146" customWidth="1"/>
    <col min="12102" max="12102" width="18.28515625" style="146" customWidth="1"/>
    <col min="12103" max="12103" width="1.5703125" style="146" customWidth="1"/>
    <col min="12104" max="12104" width="6" style="146" customWidth="1"/>
    <col min="12105" max="12105" width="2.5703125" style="146" customWidth="1"/>
    <col min="12106" max="12106" width="10.28515625" style="146" customWidth="1"/>
    <col min="12107" max="12107" width="5.42578125" style="146" customWidth="1"/>
    <col min="12108" max="12278" width="9.140625" style="146"/>
    <col min="12279" max="12279" width="2.28515625" style="146" customWidth="1"/>
    <col min="12280" max="12280" width="11" style="146" customWidth="1"/>
    <col min="12281" max="12281" width="13.140625" style="146" customWidth="1"/>
    <col min="12282" max="12282" width="12.140625" style="146" customWidth="1"/>
    <col min="12283" max="12283" width="7.42578125" style="146" customWidth="1"/>
    <col min="12284" max="12284" width="8.42578125" style="146" customWidth="1"/>
    <col min="12285" max="12285" width="8.140625" style="146" customWidth="1"/>
    <col min="12286" max="12286" width="5.85546875" style="146" customWidth="1"/>
    <col min="12287" max="12287" width="5.7109375" style="146" customWidth="1"/>
    <col min="12288" max="12288" width="8" style="146" customWidth="1"/>
    <col min="12289" max="12289" width="6.5703125" style="146" customWidth="1"/>
    <col min="12290" max="12290" width="6.85546875" style="146" customWidth="1"/>
    <col min="12291" max="12291" width="6.28515625" style="146" customWidth="1"/>
    <col min="12292" max="12292" width="6.5703125" style="146" customWidth="1"/>
    <col min="12293" max="12293" width="5.28515625" style="146" customWidth="1"/>
    <col min="12294" max="12294" width="6.140625" style="146" customWidth="1"/>
    <col min="12295" max="12296" width="5.42578125" style="146" customWidth="1"/>
    <col min="12297" max="12297" width="6.7109375" style="146" customWidth="1"/>
    <col min="12298" max="12298" width="6.5703125" style="146" customWidth="1"/>
    <col min="12299" max="12299" width="6.42578125" style="146" customWidth="1"/>
    <col min="12300" max="12300" width="6.5703125" style="146" customWidth="1"/>
    <col min="12301" max="12301" width="5.85546875" style="146" customWidth="1"/>
    <col min="12302" max="12302" width="6.28515625" style="146" customWidth="1"/>
    <col min="12303" max="12324" width="0" style="146" hidden="1" customWidth="1"/>
    <col min="12325" max="12325" width="0.7109375" style="146" customWidth="1"/>
    <col min="12326" max="12326" width="8.42578125" style="146" customWidth="1"/>
    <col min="12327" max="12328" width="0" style="146" hidden="1" customWidth="1"/>
    <col min="12329" max="12329" width="5" style="146" customWidth="1"/>
    <col min="12330" max="12330" width="7.42578125" style="146" customWidth="1"/>
    <col min="12331" max="12331" width="6.42578125" style="146" customWidth="1"/>
    <col min="12332" max="12332" width="6.140625" style="146" customWidth="1"/>
    <col min="12333" max="12333" width="0" style="146" hidden="1" customWidth="1"/>
    <col min="12334" max="12334" width="6.5703125" style="146" customWidth="1"/>
    <col min="12335" max="12336" width="7.5703125" style="146" customWidth="1"/>
    <col min="12337" max="12337" width="2.7109375" style="146" customWidth="1"/>
    <col min="12338" max="12338" width="15.140625" style="146" customWidth="1"/>
    <col min="12339" max="12339" width="2.7109375" style="146" customWidth="1"/>
    <col min="12340" max="12340" width="8.42578125" style="146" customWidth="1"/>
    <col min="12341" max="12341" width="2.7109375" style="146" customWidth="1"/>
    <col min="12342" max="12342" width="13.7109375" style="146" customWidth="1"/>
    <col min="12343" max="12343" width="2.7109375" style="146" customWidth="1"/>
    <col min="12344" max="12344" width="9.7109375" style="146" customWidth="1"/>
    <col min="12345" max="12345" width="2.7109375" style="146" customWidth="1"/>
    <col min="12346" max="12346" width="1" style="146" customWidth="1"/>
    <col min="12347" max="12347" width="6.7109375" style="146" customWidth="1"/>
    <col min="12348" max="12348" width="8.140625" style="146" customWidth="1"/>
    <col min="12349" max="12349" width="7.85546875" style="146" customWidth="1"/>
    <col min="12350" max="12350" width="8.28515625" style="146" customWidth="1"/>
    <col min="12351" max="12352" width="9.140625" style="146" customWidth="1"/>
    <col min="12353" max="12353" width="32.5703125" style="146" customWidth="1"/>
    <col min="12354" max="12354" width="9.140625" style="146" customWidth="1"/>
    <col min="12355" max="12355" width="3.140625" style="146" customWidth="1"/>
    <col min="12356" max="12356" width="13.85546875" style="146" customWidth="1"/>
    <col min="12357" max="12357" width="4.140625" style="146" customWidth="1"/>
    <col min="12358" max="12358" width="18.28515625" style="146" customWidth="1"/>
    <col min="12359" max="12359" width="1.5703125" style="146" customWidth="1"/>
    <col min="12360" max="12360" width="6" style="146" customWidth="1"/>
    <col min="12361" max="12361" width="2.5703125" style="146" customWidth="1"/>
    <col min="12362" max="12362" width="10.28515625" style="146" customWidth="1"/>
    <col min="12363" max="12363" width="5.42578125" style="146" customWidth="1"/>
    <col min="12364" max="12534" width="9.140625" style="146"/>
    <col min="12535" max="12535" width="2.28515625" style="146" customWidth="1"/>
    <col min="12536" max="12536" width="11" style="146" customWidth="1"/>
    <col min="12537" max="12537" width="13.140625" style="146" customWidth="1"/>
    <col min="12538" max="12538" width="12.140625" style="146" customWidth="1"/>
    <col min="12539" max="12539" width="7.42578125" style="146" customWidth="1"/>
    <col min="12540" max="12540" width="8.42578125" style="146" customWidth="1"/>
    <col min="12541" max="12541" width="8.140625" style="146" customWidth="1"/>
    <col min="12542" max="12542" width="5.85546875" style="146" customWidth="1"/>
    <col min="12543" max="12543" width="5.7109375" style="146" customWidth="1"/>
    <col min="12544" max="12544" width="8" style="146" customWidth="1"/>
    <col min="12545" max="12545" width="6.5703125" style="146" customWidth="1"/>
    <col min="12546" max="12546" width="6.85546875" style="146" customWidth="1"/>
    <col min="12547" max="12547" width="6.28515625" style="146" customWidth="1"/>
    <col min="12548" max="12548" width="6.5703125" style="146" customWidth="1"/>
    <col min="12549" max="12549" width="5.28515625" style="146" customWidth="1"/>
    <col min="12550" max="12550" width="6.140625" style="146" customWidth="1"/>
    <col min="12551" max="12552" width="5.42578125" style="146" customWidth="1"/>
    <col min="12553" max="12553" width="6.7109375" style="146" customWidth="1"/>
    <col min="12554" max="12554" width="6.5703125" style="146" customWidth="1"/>
    <col min="12555" max="12555" width="6.42578125" style="146" customWidth="1"/>
    <col min="12556" max="12556" width="6.5703125" style="146" customWidth="1"/>
    <col min="12557" max="12557" width="5.85546875" style="146" customWidth="1"/>
    <col min="12558" max="12558" width="6.28515625" style="146" customWidth="1"/>
    <col min="12559" max="12580" width="0" style="146" hidden="1" customWidth="1"/>
    <col min="12581" max="12581" width="0.7109375" style="146" customWidth="1"/>
    <col min="12582" max="12582" width="8.42578125" style="146" customWidth="1"/>
    <col min="12583" max="12584" width="0" style="146" hidden="1" customWidth="1"/>
    <col min="12585" max="12585" width="5" style="146" customWidth="1"/>
    <col min="12586" max="12586" width="7.42578125" style="146" customWidth="1"/>
    <col min="12587" max="12587" width="6.42578125" style="146" customWidth="1"/>
    <col min="12588" max="12588" width="6.140625" style="146" customWidth="1"/>
    <col min="12589" max="12589" width="0" style="146" hidden="1" customWidth="1"/>
    <col min="12590" max="12590" width="6.5703125" style="146" customWidth="1"/>
    <col min="12591" max="12592" width="7.5703125" style="146" customWidth="1"/>
    <col min="12593" max="12593" width="2.7109375" style="146" customWidth="1"/>
    <col min="12594" max="12594" width="15.140625" style="146" customWidth="1"/>
    <col min="12595" max="12595" width="2.7109375" style="146" customWidth="1"/>
    <col min="12596" max="12596" width="8.42578125" style="146" customWidth="1"/>
    <col min="12597" max="12597" width="2.7109375" style="146" customWidth="1"/>
    <col min="12598" max="12598" width="13.7109375" style="146" customWidth="1"/>
    <col min="12599" max="12599" width="2.7109375" style="146" customWidth="1"/>
    <col min="12600" max="12600" width="9.7109375" style="146" customWidth="1"/>
    <col min="12601" max="12601" width="2.7109375" style="146" customWidth="1"/>
    <col min="12602" max="12602" width="1" style="146" customWidth="1"/>
    <col min="12603" max="12603" width="6.7109375" style="146" customWidth="1"/>
    <col min="12604" max="12604" width="8.140625" style="146" customWidth="1"/>
    <col min="12605" max="12605" width="7.85546875" style="146" customWidth="1"/>
    <col min="12606" max="12606" width="8.28515625" style="146" customWidth="1"/>
    <col min="12607" max="12608" width="9.140625" style="146" customWidth="1"/>
    <col min="12609" max="12609" width="32.5703125" style="146" customWidth="1"/>
    <col min="12610" max="12610" width="9.140625" style="146" customWidth="1"/>
    <col min="12611" max="12611" width="3.140625" style="146" customWidth="1"/>
    <col min="12612" max="12612" width="13.85546875" style="146" customWidth="1"/>
    <col min="12613" max="12613" width="4.140625" style="146" customWidth="1"/>
    <col min="12614" max="12614" width="18.28515625" style="146" customWidth="1"/>
    <col min="12615" max="12615" width="1.5703125" style="146" customWidth="1"/>
    <col min="12616" max="12616" width="6" style="146" customWidth="1"/>
    <col min="12617" max="12617" width="2.5703125" style="146" customWidth="1"/>
    <col min="12618" max="12618" width="10.28515625" style="146" customWidth="1"/>
    <col min="12619" max="12619" width="5.42578125" style="146" customWidth="1"/>
    <col min="12620" max="12790" width="9.140625" style="146"/>
    <col min="12791" max="12791" width="2.28515625" style="146" customWidth="1"/>
    <col min="12792" max="12792" width="11" style="146" customWidth="1"/>
    <col min="12793" max="12793" width="13.140625" style="146" customWidth="1"/>
    <col min="12794" max="12794" width="12.140625" style="146" customWidth="1"/>
    <col min="12795" max="12795" width="7.42578125" style="146" customWidth="1"/>
    <col min="12796" max="12796" width="8.42578125" style="146" customWidth="1"/>
    <col min="12797" max="12797" width="8.140625" style="146" customWidth="1"/>
    <col min="12798" max="12798" width="5.85546875" style="146" customWidth="1"/>
    <col min="12799" max="12799" width="5.7109375" style="146" customWidth="1"/>
    <col min="12800" max="12800" width="8" style="146" customWidth="1"/>
    <col min="12801" max="12801" width="6.5703125" style="146" customWidth="1"/>
    <col min="12802" max="12802" width="6.85546875" style="146" customWidth="1"/>
    <col min="12803" max="12803" width="6.28515625" style="146" customWidth="1"/>
    <col min="12804" max="12804" width="6.5703125" style="146" customWidth="1"/>
    <col min="12805" max="12805" width="5.28515625" style="146" customWidth="1"/>
    <col min="12806" max="12806" width="6.140625" style="146" customWidth="1"/>
    <col min="12807" max="12808" width="5.42578125" style="146" customWidth="1"/>
    <col min="12809" max="12809" width="6.7109375" style="146" customWidth="1"/>
    <col min="12810" max="12810" width="6.5703125" style="146" customWidth="1"/>
    <col min="12811" max="12811" width="6.42578125" style="146" customWidth="1"/>
    <col min="12812" max="12812" width="6.5703125" style="146" customWidth="1"/>
    <col min="12813" max="12813" width="5.85546875" style="146" customWidth="1"/>
    <col min="12814" max="12814" width="6.28515625" style="146" customWidth="1"/>
    <col min="12815" max="12836" width="0" style="146" hidden="1" customWidth="1"/>
    <col min="12837" max="12837" width="0.7109375" style="146" customWidth="1"/>
    <col min="12838" max="12838" width="8.42578125" style="146" customWidth="1"/>
    <col min="12839" max="12840" width="0" style="146" hidden="1" customWidth="1"/>
    <col min="12841" max="12841" width="5" style="146" customWidth="1"/>
    <col min="12842" max="12842" width="7.42578125" style="146" customWidth="1"/>
    <col min="12843" max="12843" width="6.42578125" style="146" customWidth="1"/>
    <col min="12844" max="12844" width="6.140625" style="146" customWidth="1"/>
    <col min="12845" max="12845" width="0" style="146" hidden="1" customWidth="1"/>
    <col min="12846" max="12846" width="6.5703125" style="146" customWidth="1"/>
    <col min="12847" max="12848" width="7.5703125" style="146" customWidth="1"/>
    <col min="12849" max="12849" width="2.7109375" style="146" customWidth="1"/>
    <col min="12850" max="12850" width="15.140625" style="146" customWidth="1"/>
    <col min="12851" max="12851" width="2.7109375" style="146" customWidth="1"/>
    <col min="12852" max="12852" width="8.42578125" style="146" customWidth="1"/>
    <col min="12853" max="12853" width="2.7109375" style="146" customWidth="1"/>
    <col min="12854" max="12854" width="13.7109375" style="146" customWidth="1"/>
    <col min="12855" max="12855" width="2.7109375" style="146" customWidth="1"/>
    <col min="12856" max="12856" width="9.7109375" style="146" customWidth="1"/>
    <col min="12857" max="12857" width="2.7109375" style="146" customWidth="1"/>
    <col min="12858" max="12858" width="1" style="146" customWidth="1"/>
    <col min="12859" max="12859" width="6.7109375" style="146" customWidth="1"/>
    <col min="12860" max="12860" width="8.140625" style="146" customWidth="1"/>
    <col min="12861" max="12861" width="7.85546875" style="146" customWidth="1"/>
    <col min="12862" max="12862" width="8.28515625" style="146" customWidth="1"/>
    <col min="12863" max="12864" width="9.140625" style="146" customWidth="1"/>
    <col min="12865" max="12865" width="32.5703125" style="146" customWidth="1"/>
    <col min="12866" max="12866" width="9.140625" style="146" customWidth="1"/>
    <col min="12867" max="12867" width="3.140625" style="146" customWidth="1"/>
    <col min="12868" max="12868" width="13.85546875" style="146" customWidth="1"/>
    <col min="12869" max="12869" width="4.140625" style="146" customWidth="1"/>
    <col min="12870" max="12870" width="18.28515625" style="146" customWidth="1"/>
    <col min="12871" max="12871" width="1.5703125" style="146" customWidth="1"/>
    <col min="12872" max="12872" width="6" style="146" customWidth="1"/>
    <col min="12873" max="12873" width="2.5703125" style="146" customWidth="1"/>
    <col min="12874" max="12874" width="10.28515625" style="146" customWidth="1"/>
    <col min="12875" max="12875" width="5.42578125" style="146" customWidth="1"/>
    <col min="12876" max="13046" width="9.140625" style="146"/>
    <col min="13047" max="13047" width="2.28515625" style="146" customWidth="1"/>
    <col min="13048" max="13048" width="11" style="146" customWidth="1"/>
    <col min="13049" max="13049" width="13.140625" style="146" customWidth="1"/>
    <col min="13050" max="13050" width="12.140625" style="146" customWidth="1"/>
    <col min="13051" max="13051" width="7.42578125" style="146" customWidth="1"/>
    <col min="13052" max="13052" width="8.42578125" style="146" customWidth="1"/>
    <col min="13053" max="13053" width="8.140625" style="146" customWidth="1"/>
    <col min="13054" max="13054" width="5.85546875" style="146" customWidth="1"/>
    <col min="13055" max="13055" width="5.7109375" style="146" customWidth="1"/>
    <col min="13056" max="13056" width="8" style="146" customWidth="1"/>
    <col min="13057" max="13057" width="6.5703125" style="146" customWidth="1"/>
    <col min="13058" max="13058" width="6.85546875" style="146" customWidth="1"/>
    <col min="13059" max="13059" width="6.28515625" style="146" customWidth="1"/>
    <col min="13060" max="13060" width="6.5703125" style="146" customWidth="1"/>
    <col min="13061" max="13061" width="5.28515625" style="146" customWidth="1"/>
    <col min="13062" max="13062" width="6.140625" style="146" customWidth="1"/>
    <col min="13063" max="13064" width="5.42578125" style="146" customWidth="1"/>
    <col min="13065" max="13065" width="6.7109375" style="146" customWidth="1"/>
    <col min="13066" max="13066" width="6.5703125" style="146" customWidth="1"/>
    <col min="13067" max="13067" width="6.42578125" style="146" customWidth="1"/>
    <col min="13068" max="13068" width="6.5703125" style="146" customWidth="1"/>
    <col min="13069" max="13069" width="5.85546875" style="146" customWidth="1"/>
    <col min="13070" max="13070" width="6.28515625" style="146" customWidth="1"/>
    <col min="13071" max="13092" width="0" style="146" hidden="1" customWidth="1"/>
    <col min="13093" max="13093" width="0.7109375" style="146" customWidth="1"/>
    <col min="13094" max="13094" width="8.42578125" style="146" customWidth="1"/>
    <col min="13095" max="13096" width="0" style="146" hidden="1" customWidth="1"/>
    <col min="13097" max="13097" width="5" style="146" customWidth="1"/>
    <col min="13098" max="13098" width="7.42578125" style="146" customWidth="1"/>
    <col min="13099" max="13099" width="6.42578125" style="146" customWidth="1"/>
    <col min="13100" max="13100" width="6.140625" style="146" customWidth="1"/>
    <col min="13101" max="13101" width="0" style="146" hidden="1" customWidth="1"/>
    <col min="13102" max="13102" width="6.5703125" style="146" customWidth="1"/>
    <col min="13103" max="13104" width="7.5703125" style="146" customWidth="1"/>
    <col min="13105" max="13105" width="2.7109375" style="146" customWidth="1"/>
    <col min="13106" max="13106" width="15.140625" style="146" customWidth="1"/>
    <col min="13107" max="13107" width="2.7109375" style="146" customWidth="1"/>
    <col min="13108" max="13108" width="8.42578125" style="146" customWidth="1"/>
    <col min="13109" max="13109" width="2.7109375" style="146" customWidth="1"/>
    <col min="13110" max="13110" width="13.7109375" style="146" customWidth="1"/>
    <col min="13111" max="13111" width="2.7109375" style="146" customWidth="1"/>
    <col min="13112" max="13112" width="9.7109375" style="146" customWidth="1"/>
    <col min="13113" max="13113" width="2.7109375" style="146" customWidth="1"/>
    <col min="13114" max="13114" width="1" style="146" customWidth="1"/>
    <col min="13115" max="13115" width="6.7109375" style="146" customWidth="1"/>
    <col min="13116" max="13116" width="8.140625" style="146" customWidth="1"/>
    <col min="13117" max="13117" width="7.85546875" style="146" customWidth="1"/>
    <col min="13118" max="13118" width="8.28515625" style="146" customWidth="1"/>
    <col min="13119" max="13120" width="9.140625" style="146" customWidth="1"/>
    <col min="13121" max="13121" width="32.5703125" style="146" customWidth="1"/>
    <col min="13122" max="13122" width="9.140625" style="146" customWidth="1"/>
    <col min="13123" max="13123" width="3.140625" style="146" customWidth="1"/>
    <col min="13124" max="13124" width="13.85546875" style="146" customWidth="1"/>
    <col min="13125" max="13125" width="4.140625" style="146" customWidth="1"/>
    <col min="13126" max="13126" width="18.28515625" style="146" customWidth="1"/>
    <col min="13127" max="13127" width="1.5703125" style="146" customWidth="1"/>
    <col min="13128" max="13128" width="6" style="146" customWidth="1"/>
    <col min="13129" max="13129" width="2.5703125" style="146" customWidth="1"/>
    <col min="13130" max="13130" width="10.28515625" style="146" customWidth="1"/>
    <col min="13131" max="13131" width="5.42578125" style="146" customWidth="1"/>
    <col min="13132" max="13302" width="9.140625" style="146"/>
    <col min="13303" max="13303" width="2.28515625" style="146" customWidth="1"/>
    <col min="13304" max="13304" width="11" style="146" customWidth="1"/>
    <col min="13305" max="13305" width="13.140625" style="146" customWidth="1"/>
    <col min="13306" max="13306" width="12.140625" style="146" customWidth="1"/>
    <col min="13307" max="13307" width="7.42578125" style="146" customWidth="1"/>
    <col min="13308" max="13308" width="8.42578125" style="146" customWidth="1"/>
    <col min="13309" max="13309" width="8.140625" style="146" customWidth="1"/>
    <col min="13310" max="13310" width="5.85546875" style="146" customWidth="1"/>
    <col min="13311" max="13311" width="5.7109375" style="146" customWidth="1"/>
    <col min="13312" max="13312" width="8" style="146" customWidth="1"/>
    <col min="13313" max="13313" width="6.5703125" style="146" customWidth="1"/>
    <col min="13314" max="13314" width="6.85546875" style="146" customWidth="1"/>
    <col min="13315" max="13315" width="6.28515625" style="146" customWidth="1"/>
    <col min="13316" max="13316" width="6.5703125" style="146" customWidth="1"/>
    <col min="13317" max="13317" width="5.28515625" style="146" customWidth="1"/>
    <col min="13318" max="13318" width="6.140625" style="146" customWidth="1"/>
    <col min="13319" max="13320" width="5.42578125" style="146" customWidth="1"/>
    <col min="13321" max="13321" width="6.7109375" style="146" customWidth="1"/>
    <col min="13322" max="13322" width="6.5703125" style="146" customWidth="1"/>
    <col min="13323" max="13323" width="6.42578125" style="146" customWidth="1"/>
    <col min="13324" max="13324" width="6.5703125" style="146" customWidth="1"/>
    <col min="13325" max="13325" width="5.85546875" style="146" customWidth="1"/>
    <col min="13326" max="13326" width="6.28515625" style="146" customWidth="1"/>
    <col min="13327" max="13348" width="0" style="146" hidden="1" customWidth="1"/>
    <col min="13349" max="13349" width="0.7109375" style="146" customWidth="1"/>
    <col min="13350" max="13350" width="8.42578125" style="146" customWidth="1"/>
    <col min="13351" max="13352" width="0" style="146" hidden="1" customWidth="1"/>
    <col min="13353" max="13353" width="5" style="146" customWidth="1"/>
    <col min="13354" max="13354" width="7.42578125" style="146" customWidth="1"/>
    <col min="13355" max="13355" width="6.42578125" style="146" customWidth="1"/>
    <col min="13356" max="13356" width="6.140625" style="146" customWidth="1"/>
    <col min="13357" max="13357" width="0" style="146" hidden="1" customWidth="1"/>
    <col min="13358" max="13358" width="6.5703125" style="146" customWidth="1"/>
    <col min="13359" max="13360" width="7.5703125" style="146" customWidth="1"/>
    <col min="13361" max="13361" width="2.7109375" style="146" customWidth="1"/>
    <col min="13362" max="13362" width="15.140625" style="146" customWidth="1"/>
    <col min="13363" max="13363" width="2.7109375" style="146" customWidth="1"/>
    <col min="13364" max="13364" width="8.42578125" style="146" customWidth="1"/>
    <col min="13365" max="13365" width="2.7109375" style="146" customWidth="1"/>
    <col min="13366" max="13366" width="13.7109375" style="146" customWidth="1"/>
    <col min="13367" max="13367" width="2.7109375" style="146" customWidth="1"/>
    <col min="13368" max="13368" width="9.7109375" style="146" customWidth="1"/>
    <col min="13369" max="13369" width="2.7109375" style="146" customWidth="1"/>
    <col min="13370" max="13370" width="1" style="146" customWidth="1"/>
    <col min="13371" max="13371" width="6.7109375" style="146" customWidth="1"/>
    <col min="13372" max="13372" width="8.140625" style="146" customWidth="1"/>
    <col min="13373" max="13373" width="7.85546875" style="146" customWidth="1"/>
    <col min="13374" max="13374" width="8.28515625" style="146" customWidth="1"/>
    <col min="13375" max="13376" width="9.140625" style="146" customWidth="1"/>
    <col min="13377" max="13377" width="32.5703125" style="146" customWidth="1"/>
    <col min="13378" max="13378" width="9.140625" style="146" customWidth="1"/>
    <col min="13379" max="13379" width="3.140625" style="146" customWidth="1"/>
    <col min="13380" max="13380" width="13.85546875" style="146" customWidth="1"/>
    <col min="13381" max="13381" width="4.140625" style="146" customWidth="1"/>
    <col min="13382" max="13382" width="18.28515625" style="146" customWidth="1"/>
    <col min="13383" max="13383" width="1.5703125" style="146" customWidth="1"/>
    <col min="13384" max="13384" width="6" style="146" customWidth="1"/>
    <col min="13385" max="13385" width="2.5703125" style="146" customWidth="1"/>
    <col min="13386" max="13386" width="10.28515625" style="146" customWidth="1"/>
    <col min="13387" max="13387" width="5.42578125" style="146" customWidth="1"/>
    <col min="13388" max="13558" width="9.140625" style="146"/>
    <col min="13559" max="13559" width="2.28515625" style="146" customWidth="1"/>
    <col min="13560" max="13560" width="11" style="146" customWidth="1"/>
    <col min="13561" max="13561" width="13.140625" style="146" customWidth="1"/>
    <col min="13562" max="13562" width="12.140625" style="146" customWidth="1"/>
    <col min="13563" max="13563" width="7.42578125" style="146" customWidth="1"/>
    <col min="13564" max="13564" width="8.42578125" style="146" customWidth="1"/>
    <col min="13565" max="13565" width="8.140625" style="146" customWidth="1"/>
    <col min="13566" max="13566" width="5.85546875" style="146" customWidth="1"/>
    <col min="13567" max="13567" width="5.7109375" style="146" customWidth="1"/>
    <col min="13568" max="13568" width="8" style="146" customWidth="1"/>
    <col min="13569" max="13569" width="6.5703125" style="146" customWidth="1"/>
    <col min="13570" max="13570" width="6.85546875" style="146" customWidth="1"/>
    <col min="13571" max="13571" width="6.28515625" style="146" customWidth="1"/>
    <col min="13572" max="13572" width="6.5703125" style="146" customWidth="1"/>
    <col min="13573" max="13573" width="5.28515625" style="146" customWidth="1"/>
    <col min="13574" max="13574" width="6.140625" style="146" customWidth="1"/>
    <col min="13575" max="13576" width="5.42578125" style="146" customWidth="1"/>
    <col min="13577" max="13577" width="6.7109375" style="146" customWidth="1"/>
    <col min="13578" max="13578" width="6.5703125" style="146" customWidth="1"/>
    <col min="13579" max="13579" width="6.42578125" style="146" customWidth="1"/>
    <col min="13580" max="13580" width="6.5703125" style="146" customWidth="1"/>
    <col min="13581" max="13581" width="5.85546875" style="146" customWidth="1"/>
    <col min="13582" max="13582" width="6.28515625" style="146" customWidth="1"/>
    <col min="13583" max="13604" width="0" style="146" hidden="1" customWidth="1"/>
    <col min="13605" max="13605" width="0.7109375" style="146" customWidth="1"/>
    <col min="13606" max="13606" width="8.42578125" style="146" customWidth="1"/>
    <col min="13607" max="13608" width="0" style="146" hidden="1" customWidth="1"/>
    <col min="13609" max="13609" width="5" style="146" customWidth="1"/>
    <col min="13610" max="13610" width="7.42578125" style="146" customWidth="1"/>
    <col min="13611" max="13611" width="6.42578125" style="146" customWidth="1"/>
    <col min="13612" max="13612" width="6.140625" style="146" customWidth="1"/>
    <col min="13613" max="13613" width="0" style="146" hidden="1" customWidth="1"/>
    <col min="13614" max="13614" width="6.5703125" style="146" customWidth="1"/>
    <col min="13615" max="13616" width="7.5703125" style="146" customWidth="1"/>
    <col min="13617" max="13617" width="2.7109375" style="146" customWidth="1"/>
    <col min="13618" max="13618" width="15.140625" style="146" customWidth="1"/>
    <col min="13619" max="13619" width="2.7109375" style="146" customWidth="1"/>
    <col min="13620" max="13620" width="8.42578125" style="146" customWidth="1"/>
    <col min="13621" max="13621" width="2.7109375" style="146" customWidth="1"/>
    <col min="13622" max="13622" width="13.7109375" style="146" customWidth="1"/>
    <col min="13623" max="13623" width="2.7109375" style="146" customWidth="1"/>
    <col min="13624" max="13624" width="9.7109375" style="146" customWidth="1"/>
    <col min="13625" max="13625" width="2.7109375" style="146" customWidth="1"/>
    <col min="13626" max="13626" width="1" style="146" customWidth="1"/>
    <col min="13627" max="13627" width="6.7109375" style="146" customWidth="1"/>
    <col min="13628" max="13628" width="8.140625" style="146" customWidth="1"/>
    <col min="13629" max="13629" width="7.85546875" style="146" customWidth="1"/>
    <col min="13630" max="13630" width="8.28515625" style="146" customWidth="1"/>
    <col min="13631" max="13632" width="9.140625" style="146" customWidth="1"/>
    <col min="13633" max="13633" width="32.5703125" style="146" customWidth="1"/>
    <col min="13634" max="13634" width="9.140625" style="146" customWidth="1"/>
    <col min="13635" max="13635" width="3.140625" style="146" customWidth="1"/>
    <col min="13636" max="13636" width="13.85546875" style="146" customWidth="1"/>
    <col min="13637" max="13637" width="4.140625" style="146" customWidth="1"/>
    <col min="13638" max="13638" width="18.28515625" style="146" customWidth="1"/>
    <col min="13639" max="13639" width="1.5703125" style="146" customWidth="1"/>
    <col min="13640" max="13640" width="6" style="146" customWidth="1"/>
    <col min="13641" max="13641" width="2.5703125" style="146" customWidth="1"/>
    <col min="13642" max="13642" width="10.28515625" style="146" customWidth="1"/>
    <col min="13643" max="13643" width="5.42578125" style="146" customWidth="1"/>
    <col min="13644" max="13814" width="9.140625" style="146"/>
    <col min="13815" max="13815" width="2.28515625" style="146" customWidth="1"/>
    <col min="13816" max="13816" width="11" style="146" customWidth="1"/>
    <col min="13817" max="13817" width="13.140625" style="146" customWidth="1"/>
    <col min="13818" max="13818" width="12.140625" style="146" customWidth="1"/>
    <col min="13819" max="13819" width="7.42578125" style="146" customWidth="1"/>
    <col min="13820" max="13820" width="8.42578125" style="146" customWidth="1"/>
    <col min="13821" max="13821" width="8.140625" style="146" customWidth="1"/>
    <col min="13822" max="13822" width="5.85546875" style="146" customWidth="1"/>
    <col min="13823" max="13823" width="5.7109375" style="146" customWidth="1"/>
    <col min="13824" max="13824" width="8" style="146" customWidth="1"/>
    <col min="13825" max="13825" width="6.5703125" style="146" customWidth="1"/>
    <col min="13826" max="13826" width="6.85546875" style="146" customWidth="1"/>
    <col min="13827" max="13827" width="6.28515625" style="146" customWidth="1"/>
    <col min="13828" max="13828" width="6.5703125" style="146" customWidth="1"/>
    <col min="13829" max="13829" width="5.28515625" style="146" customWidth="1"/>
    <col min="13830" max="13830" width="6.140625" style="146" customWidth="1"/>
    <col min="13831" max="13832" width="5.42578125" style="146" customWidth="1"/>
    <col min="13833" max="13833" width="6.7109375" style="146" customWidth="1"/>
    <col min="13834" max="13834" width="6.5703125" style="146" customWidth="1"/>
    <col min="13835" max="13835" width="6.42578125" style="146" customWidth="1"/>
    <col min="13836" max="13836" width="6.5703125" style="146" customWidth="1"/>
    <col min="13837" max="13837" width="5.85546875" style="146" customWidth="1"/>
    <col min="13838" max="13838" width="6.28515625" style="146" customWidth="1"/>
    <col min="13839" max="13860" width="0" style="146" hidden="1" customWidth="1"/>
    <col min="13861" max="13861" width="0.7109375" style="146" customWidth="1"/>
    <col min="13862" max="13862" width="8.42578125" style="146" customWidth="1"/>
    <col min="13863" max="13864" width="0" style="146" hidden="1" customWidth="1"/>
    <col min="13865" max="13865" width="5" style="146" customWidth="1"/>
    <col min="13866" max="13866" width="7.42578125" style="146" customWidth="1"/>
    <col min="13867" max="13867" width="6.42578125" style="146" customWidth="1"/>
    <col min="13868" max="13868" width="6.140625" style="146" customWidth="1"/>
    <col min="13869" max="13869" width="0" style="146" hidden="1" customWidth="1"/>
    <col min="13870" max="13870" width="6.5703125" style="146" customWidth="1"/>
    <col min="13871" max="13872" width="7.5703125" style="146" customWidth="1"/>
    <col min="13873" max="13873" width="2.7109375" style="146" customWidth="1"/>
    <col min="13874" max="13874" width="15.140625" style="146" customWidth="1"/>
    <col min="13875" max="13875" width="2.7109375" style="146" customWidth="1"/>
    <col min="13876" max="13876" width="8.42578125" style="146" customWidth="1"/>
    <col min="13877" max="13877" width="2.7109375" style="146" customWidth="1"/>
    <col min="13878" max="13878" width="13.7109375" style="146" customWidth="1"/>
    <col min="13879" max="13879" width="2.7109375" style="146" customWidth="1"/>
    <col min="13880" max="13880" width="9.7109375" style="146" customWidth="1"/>
    <col min="13881" max="13881" width="2.7109375" style="146" customWidth="1"/>
    <col min="13882" max="13882" width="1" style="146" customWidth="1"/>
    <col min="13883" max="13883" width="6.7109375" style="146" customWidth="1"/>
    <col min="13884" max="13884" width="8.140625" style="146" customWidth="1"/>
    <col min="13885" max="13885" width="7.85546875" style="146" customWidth="1"/>
    <col min="13886" max="13886" width="8.28515625" style="146" customWidth="1"/>
    <col min="13887" max="13888" width="9.140625" style="146" customWidth="1"/>
    <col min="13889" max="13889" width="32.5703125" style="146" customWidth="1"/>
    <col min="13890" max="13890" width="9.140625" style="146" customWidth="1"/>
    <col min="13891" max="13891" width="3.140625" style="146" customWidth="1"/>
    <col min="13892" max="13892" width="13.85546875" style="146" customWidth="1"/>
    <col min="13893" max="13893" width="4.140625" style="146" customWidth="1"/>
    <col min="13894" max="13894" width="18.28515625" style="146" customWidth="1"/>
    <col min="13895" max="13895" width="1.5703125" style="146" customWidth="1"/>
    <col min="13896" max="13896" width="6" style="146" customWidth="1"/>
    <col min="13897" max="13897" width="2.5703125" style="146" customWidth="1"/>
    <col min="13898" max="13898" width="10.28515625" style="146" customWidth="1"/>
    <col min="13899" max="13899" width="5.42578125" style="146" customWidth="1"/>
    <col min="13900" max="14070" width="9.140625" style="146"/>
    <col min="14071" max="14071" width="2.28515625" style="146" customWidth="1"/>
    <col min="14072" max="14072" width="11" style="146" customWidth="1"/>
    <col min="14073" max="14073" width="13.140625" style="146" customWidth="1"/>
    <col min="14074" max="14074" width="12.140625" style="146" customWidth="1"/>
    <col min="14075" max="14075" width="7.42578125" style="146" customWidth="1"/>
    <col min="14076" max="14076" width="8.42578125" style="146" customWidth="1"/>
    <col min="14077" max="14077" width="8.140625" style="146" customWidth="1"/>
    <col min="14078" max="14078" width="5.85546875" style="146" customWidth="1"/>
    <col min="14079" max="14079" width="5.7109375" style="146" customWidth="1"/>
    <col min="14080" max="14080" width="8" style="146" customWidth="1"/>
    <col min="14081" max="14081" width="6.5703125" style="146" customWidth="1"/>
    <col min="14082" max="14082" width="6.85546875" style="146" customWidth="1"/>
    <col min="14083" max="14083" width="6.28515625" style="146" customWidth="1"/>
    <col min="14084" max="14084" width="6.5703125" style="146" customWidth="1"/>
    <col min="14085" max="14085" width="5.28515625" style="146" customWidth="1"/>
    <col min="14086" max="14086" width="6.140625" style="146" customWidth="1"/>
    <col min="14087" max="14088" width="5.42578125" style="146" customWidth="1"/>
    <col min="14089" max="14089" width="6.7109375" style="146" customWidth="1"/>
    <col min="14090" max="14090" width="6.5703125" style="146" customWidth="1"/>
    <col min="14091" max="14091" width="6.42578125" style="146" customWidth="1"/>
    <col min="14092" max="14092" width="6.5703125" style="146" customWidth="1"/>
    <col min="14093" max="14093" width="5.85546875" style="146" customWidth="1"/>
    <col min="14094" max="14094" width="6.28515625" style="146" customWidth="1"/>
    <col min="14095" max="14116" width="0" style="146" hidden="1" customWidth="1"/>
    <col min="14117" max="14117" width="0.7109375" style="146" customWidth="1"/>
    <col min="14118" max="14118" width="8.42578125" style="146" customWidth="1"/>
    <col min="14119" max="14120" width="0" style="146" hidden="1" customWidth="1"/>
    <col min="14121" max="14121" width="5" style="146" customWidth="1"/>
    <col min="14122" max="14122" width="7.42578125" style="146" customWidth="1"/>
    <col min="14123" max="14123" width="6.42578125" style="146" customWidth="1"/>
    <col min="14124" max="14124" width="6.140625" style="146" customWidth="1"/>
    <col min="14125" max="14125" width="0" style="146" hidden="1" customWidth="1"/>
    <col min="14126" max="14126" width="6.5703125" style="146" customWidth="1"/>
    <col min="14127" max="14128" width="7.5703125" style="146" customWidth="1"/>
    <col min="14129" max="14129" width="2.7109375" style="146" customWidth="1"/>
    <col min="14130" max="14130" width="15.140625" style="146" customWidth="1"/>
    <col min="14131" max="14131" width="2.7109375" style="146" customWidth="1"/>
    <col min="14132" max="14132" width="8.42578125" style="146" customWidth="1"/>
    <col min="14133" max="14133" width="2.7109375" style="146" customWidth="1"/>
    <col min="14134" max="14134" width="13.7109375" style="146" customWidth="1"/>
    <col min="14135" max="14135" width="2.7109375" style="146" customWidth="1"/>
    <col min="14136" max="14136" width="9.7109375" style="146" customWidth="1"/>
    <col min="14137" max="14137" width="2.7109375" style="146" customWidth="1"/>
    <col min="14138" max="14138" width="1" style="146" customWidth="1"/>
    <col min="14139" max="14139" width="6.7109375" style="146" customWidth="1"/>
    <col min="14140" max="14140" width="8.140625" style="146" customWidth="1"/>
    <col min="14141" max="14141" width="7.85546875" style="146" customWidth="1"/>
    <col min="14142" max="14142" width="8.28515625" style="146" customWidth="1"/>
    <col min="14143" max="14144" width="9.140625" style="146" customWidth="1"/>
    <col min="14145" max="14145" width="32.5703125" style="146" customWidth="1"/>
    <col min="14146" max="14146" width="9.140625" style="146" customWidth="1"/>
    <col min="14147" max="14147" width="3.140625" style="146" customWidth="1"/>
    <col min="14148" max="14148" width="13.85546875" style="146" customWidth="1"/>
    <col min="14149" max="14149" width="4.140625" style="146" customWidth="1"/>
    <col min="14150" max="14150" width="18.28515625" style="146" customWidth="1"/>
    <col min="14151" max="14151" width="1.5703125" style="146" customWidth="1"/>
    <col min="14152" max="14152" width="6" style="146" customWidth="1"/>
    <col min="14153" max="14153" width="2.5703125" style="146" customWidth="1"/>
    <col min="14154" max="14154" width="10.28515625" style="146" customWidth="1"/>
    <col min="14155" max="14155" width="5.42578125" style="146" customWidth="1"/>
    <col min="14156" max="14326" width="9.140625" style="146"/>
    <col min="14327" max="14327" width="2.28515625" style="146" customWidth="1"/>
    <col min="14328" max="14328" width="11" style="146" customWidth="1"/>
    <col min="14329" max="14329" width="13.140625" style="146" customWidth="1"/>
    <col min="14330" max="14330" width="12.140625" style="146" customWidth="1"/>
    <col min="14331" max="14331" width="7.42578125" style="146" customWidth="1"/>
    <col min="14332" max="14332" width="8.42578125" style="146" customWidth="1"/>
    <col min="14333" max="14333" width="8.140625" style="146" customWidth="1"/>
    <col min="14334" max="14334" width="5.85546875" style="146" customWidth="1"/>
    <col min="14335" max="14335" width="5.7109375" style="146" customWidth="1"/>
    <col min="14336" max="14336" width="8" style="146" customWidth="1"/>
    <col min="14337" max="14337" width="6.5703125" style="146" customWidth="1"/>
    <col min="14338" max="14338" width="6.85546875" style="146" customWidth="1"/>
    <col min="14339" max="14339" width="6.28515625" style="146" customWidth="1"/>
    <col min="14340" max="14340" width="6.5703125" style="146" customWidth="1"/>
    <col min="14341" max="14341" width="5.28515625" style="146" customWidth="1"/>
    <col min="14342" max="14342" width="6.140625" style="146" customWidth="1"/>
    <col min="14343" max="14344" width="5.42578125" style="146" customWidth="1"/>
    <col min="14345" max="14345" width="6.7109375" style="146" customWidth="1"/>
    <col min="14346" max="14346" width="6.5703125" style="146" customWidth="1"/>
    <col min="14347" max="14347" width="6.42578125" style="146" customWidth="1"/>
    <col min="14348" max="14348" width="6.5703125" style="146" customWidth="1"/>
    <col min="14349" max="14349" width="5.85546875" style="146" customWidth="1"/>
    <col min="14350" max="14350" width="6.28515625" style="146" customWidth="1"/>
    <col min="14351" max="14372" width="0" style="146" hidden="1" customWidth="1"/>
    <col min="14373" max="14373" width="0.7109375" style="146" customWidth="1"/>
    <col min="14374" max="14374" width="8.42578125" style="146" customWidth="1"/>
    <col min="14375" max="14376" width="0" style="146" hidden="1" customWidth="1"/>
    <col min="14377" max="14377" width="5" style="146" customWidth="1"/>
    <col min="14378" max="14378" width="7.42578125" style="146" customWidth="1"/>
    <col min="14379" max="14379" width="6.42578125" style="146" customWidth="1"/>
    <col min="14380" max="14380" width="6.140625" style="146" customWidth="1"/>
    <col min="14381" max="14381" width="0" style="146" hidden="1" customWidth="1"/>
    <col min="14382" max="14382" width="6.5703125" style="146" customWidth="1"/>
    <col min="14383" max="14384" width="7.5703125" style="146" customWidth="1"/>
    <col min="14385" max="14385" width="2.7109375" style="146" customWidth="1"/>
    <col min="14386" max="14386" width="15.140625" style="146" customWidth="1"/>
    <col min="14387" max="14387" width="2.7109375" style="146" customWidth="1"/>
    <col min="14388" max="14388" width="8.42578125" style="146" customWidth="1"/>
    <col min="14389" max="14389" width="2.7109375" style="146" customWidth="1"/>
    <col min="14390" max="14390" width="13.7109375" style="146" customWidth="1"/>
    <col min="14391" max="14391" width="2.7109375" style="146" customWidth="1"/>
    <col min="14392" max="14392" width="9.7109375" style="146" customWidth="1"/>
    <col min="14393" max="14393" width="2.7109375" style="146" customWidth="1"/>
    <col min="14394" max="14394" width="1" style="146" customWidth="1"/>
    <col min="14395" max="14395" width="6.7109375" style="146" customWidth="1"/>
    <col min="14396" max="14396" width="8.140625" style="146" customWidth="1"/>
    <col min="14397" max="14397" width="7.85546875" style="146" customWidth="1"/>
    <col min="14398" max="14398" width="8.28515625" style="146" customWidth="1"/>
    <col min="14399" max="14400" width="9.140625" style="146" customWidth="1"/>
    <col min="14401" max="14401" width="32.5703125" style="146" customWidth="1"/>
    <col min="14402" max="14402" width="9.140625" style="146" customWidth="1"/>
    <col min="14403" max="14403" width="3.140625" style="146" customWidth="1"/>
    <col min="14404" max="14404" width="13.85546875" style="146" customWidth="1"/>
    <col min="14405" max="14405" width="4.140625" style="146" customWidth="1"/>
    <col min="14406" max="14406" width="18.28515625" style="146" customWidth="1"/>
    <col min="14407" max="14407" width="1.5703125" style="146" customWidth="1"/>
    <col min="14408" max="14408" width="6" style="146" customWidth="1"/>
    <col min="14409" max="14409" width="2.5703125" style="146" customWidth="1"/>
    <col min="14410" max="14410" width="10.28515625" style="146" customWidth="1"/>
    <col min="14411" max="14411" width="5.42578125" style="146" customWidth="1"/>
    <col min="14412" max="14582" width="9.140625" style="146"/>
    <col min="14583" max="14583" width="2.28515625" style="146" customWidth="1"/>
    <col min="14584" max="14584" width="11" style="146" customWidth="1"/>
    <col min="14585" max="14585" width="13.140625" style="146" customWidth="1"/>
    <col min="14586" max="14586" width="12.140625" style="146" customWidth="1"/>
    <col min="14587" max="14587" width="7.42578125" style="146" customWidth="1"/>
    <col min="14588" max="14588" width="8.42578125" style="146" customWidth="1"/>
    <col min="14589" max="14589" width="8.140625" style="146" customWidth="1"/>
    <col min="14590" max="14590" width="5.85546875" style="146" customWidth="1"/>
    <col min="14591" max="14591" width="5.7109375" style="146" customWidth="1"/>
    <col min="14592" max="14592" width="8" style="146" customWidth="1"/>
    <col min="14593" max="14593" width="6.5703125" style="146" customWidth="1"/>
    <col min="14594" max="14594" width="6.85546875" style="146" customWidth="1"/>
    <col min="14595" max="14595" width="6.28515625" style="146" customWidth="1"/>
    <col min="14596" max="14596" width="6.5703125" style="146" customWidth="1"/>
    <col min="14597" max="14597" width="5.28515625" style="146" customWidth="1"/>
    <col min="14598" max="14598" width="6.140625" style="146" customWidth="1"/>
    <col min="14599" max="14600" width="5.42578125" style="146" customWidth="1"/>
    <col min="14601" max="14601" width="6.7109375" style="146" customWidth="1"/>
    <col min="14602" max="14602" width="6.5703125" style="146" customWidth="1"/>
    <col min="14603" max="14603" width="6.42578125" style="146" customWidth="1"/>
    <col min="14604" max="14604" width="6.5703125" style="146" customWidth="1"/>
    <col min="14605" max="14605" width="5.85546875" style="146" customWidth="1"/>
    <col min="14606" max="14606" width="6.28515625" style="146" customWidth="1"/>
    <col min="14607" max="14628" width="0" style="146" hidden="1" customWidth="1"/>
    <col min="14629" max="14629" width="0.7109375" style="146" customWidth="1"/>
    <col min="14630" max="14630" width="8.42578125" style="146" customWidth="1"/>
    <col min="14631" max="14632" width="0" style="146" hidden="1" customWidth="1"/>
    <col min="14633" max="14633" width="5" style="146" customWidth="1"/>
    <col min="14634" max="14634" width="7.42578125" style="146" customWidth="1"/>
    <col min="14635" max="14635" width="6.42578125" style="146" customWidth="1"/>
    <col min="14636" max="14636" width="6.140625" style="146" customWidth="1"/>
    <col min="14637" max="14637" width="0" style="146" hidden="1" customWidth="1"/>
    <col min="14638" max="14638" width="6.5703125" style="146" customWidth="1"/>
    <col min="14639" max="14640" width="7.5703125" style="146" customWidth="1"/>
    <col min="14641" max="14641" width="2.7109375" style="146" customWidth="1"/>
    <col min="14642" max="14642" width="15.140625" style="146" customWidth="1"/>
    <col min="14643" max="14643" width="2.7109375" style="146" customWidth="1"/>
    <col min="14644" max="14644" width="8.42578125" style="146" customWidth="1"/>
    <col min="14645" max="14645" width="2.7109375" style="146" customWidth="1"/>
    <col min="14646" max="14646" width="13.7109375" style="146" customWidth="1"/>
    <col min="14647" max="14647" width="2.7109375" style="146" customWidth="1"/>
    <col min="14648" max="14648" width="9.7109375" style="146" customWidth="1"/>
    <col min="14649" max="14649" width="2.7109375" style="146" customWidth="1"/>
    <col min="14650" max="14650" width="1" style="146" customWidth="1"/>
    <col min="14651" max="14651" width="6.7109375" style="146" customWidth="1"/>
    <col min="14652" max="14652" width="8.140625" style="146" customWidth="1"/>
    <col min="14653" max="14653" width="7.85546875" style="146" customWidth="1"/>
    <col min="14654" max="14654" width="8.28515625" style="146" customWidth="1"/>
    <col min="14655" max="14656" width="9.140625" style="146" customWidth="1"/>
    <col min="14657" max="14657" width="32.5703125" style="146" customWidth="1"/>
    <col min="14658" max="14658" width="9.140625" style="146" customWidth="1"/>
    <col min="14659" max="14659" width="3.140625" style="146" customWidth="1"/>
    <col min="14660" max="14660" width="13.85546875" style="146" customWidth="1"/>
    <col min="14661" max="14661" width="4.140625" style="146" customWidth="1"/>
    <col min="14662" max="14662" width="18.28515625" style="146" customWidth="1"/>
    <col min="14663" max="14663" width="1.5703125" style="146" customWidth="1"/>
    <col min="14664" max="14664" width="6" style="146" customWidth="1"/>
    <col min="14665" max="14665" width="2.5703125" style="146" customWidth="1"/>
    <col min="14666" max="14666" width="10.28515625" style="146" customWidth="1"/>
    <col min="14667" max="14667" width="5.42578125" style="146" customWidth="1"/>
    <col min="14668" max="14838" width="9.140625" style="146"/>
    <col min="14839" max="14839" width="2.28515625" style="146" customWidth="1"/>
    <col min="14840" max="14840" width="11" style="146" customWidth="1"/>
    <col min="14841" max="14841" width="13.140625" style="146" customWidth="1"/>
    <col min="14842" max="14842" width="12.140625" style="146" customWidth="1"/>
    <col min="14843" max="14843" width="7.42578125" style="146" customWidth="1"/>
    <col min="14844" max="14844" width="8.42578125" style="146" customWidth="1"/>
    <col min="14845" max="14845" width="8.140625" style="146" customWidth="1"/>
    <col min="14846" max="14846" width="5.85546875" style="146" customWidth="1"/>
    <col min="14847" max="14847" width="5.7109375" style="146" customWidth="1"/>
    <col min="14848" max="14848" width="8" style="146" customWidth="1"/>
    <col min="14849" max="14849" width="6.5703125" style="146" customWidth="1"/>
    <col min="14850" max="14850" width="6.85546875" style="146" customWidth="1"/>
    <col min="14851" max="14851" width="6.28515625" style="146" customWidth="1"/>
    <col min="14852" max="14852" width="6.5703125" style="146" customWidth="1"/>
    <col min="14853" max="14853" width="5.28515625" style="146" customWidth="1"/>
    <col min="14854" max="14854" width="6.140625" style="146" customWidth="1"/>
    <col min="14855" max="14856" width="5.42578125" style="146" customWidth="1"/>
    <col min="14857" max="14857" width="6.7109375" style="146" customWidth="1"/>
    <col min="14858" max="14858" width="6.5703125" style="146" customWidth="1"/>
    <col min="14859" max="14859" width="6.42578125" style="146" customWidth="1"/>
    <col min="14860" max="14860" width="6.5703125" style="146" customWidth="1"/>
    <col min="14861" max="14861" width="5.85546875" style="146" customWidth="1"/>
    <col min="14862" max="14862" width="6.28515625" style="146" customWidth="1"/>
    <col min="14863" max="14884" width="0" style="146" hidden="1" customWidth="1"/>
    <col min="14885" max="14885" width="0.7109375" style="146" customWidth="1"/>
    <col min="14886" max="14886" width="8.42578125" style="146" customWidth="1"/>
    <col min="14887" max="14888" width="0" style="146" hidden="1" customWidth="1"/>
    <col min="14889" max="14889" width="5" style="146" customWidth="1"/>
    <col min="14890" max="14890" width="7.42578125" style="146" customWidth="1"/>
    <col min="14891" max="14891" width="6.42578125" style="146" customWidth="1"/>
    <col min="14892" max="14892" width="6.140625" style="146" customWidth="1"/>
    <col min="14893" max="14893" width="0" style="146" hidden="1" customWidth="1"/>
    <col min="14894" max="14894" width="6.5703125" style="146" customWidth="1"/>
    <col min="14895" max="14896" width="7.5703125" style="146" customWidth="1"/>
    <col min="14897" max="14897" width="2.7109375" style="146" customWidth="1"/>
    <col min="14898" max="14898" width="15.140625" style="146" customWidth="1"/>
    <col min="14899" max="14899" width="2.7109375" style="146" customWidth="1"/>
    <col min="14900" max="14900" width="8.42578125" style="146" customWidth="1"/>
    <col min="14901" max="14901" width="2.7109375" style="146" customWidth="1"/>
    <col min="14902" max="14902" width="13.7109375" style="146" customWidth="1"/>
    <col min="14903" max="14903" width="2.7109375" style="146" customWidth="1"/>
    <col min="14904" max="14904" width="9.7109375" style="146" customWidth="1"/>
    <col min="14905" max="14905" width="2.7109375" style="146" customWidth="1"/>
    <col min="14906" max="14906" width="1" style="146" customWidth="1"/>
    <col min="14907" max="14907" width="6.7109375" style="146" customWidth="1"/>
    <col min="14908" max="14908" width="8.140625" style="146" customWidth="1"/>
    <col min="14909" max="14909" width="7.85546875" style="146" customWidth="1"/>
    <col min="14910" max="14910" width="8.28515625" style="146" customWidth="1"/>
    <col min="14911" max="14912" width="9.140625" style="146" customWidth="1"/>
    <col min="14913" max="14913" width="32.5703125" style="146" customWidth="1"/>
    <col min="14914" max="14914" width="9.140625" style="146" customWidth="1"/>
    <col min="14915" max="14915" width="3.140625" style="146" customWidth="1"/>
    <col min="14916" max="14916" width="13.85546875" style="146" customWidth="1"/>
    <col min="14917" max="14917" width="4.140625" style="146" customWidth="1"/>
    <col min="14918" max="14918" width="18.28515625" style="146" customWidth="1"/>
    <col min="14919" max="14919" width="1.5703125" style="146" customWidth="1"/>
    <col min="14920" max="14920" width="6" style="146" customWidth="1"/>
    <col min="14921" max="14921" width="2.5703125" style="146" customWidth="1"/>
    <col min="14922" max="14922" width="10.28515625" style="146" customWidth="1"/>
    <col min="14923" max="14923" width="5.42578125" style="146" customWidth="1"/>
    <col min="14924" max="15094" width="9.140625" style="146"/>
    <col min="15095" max="15095" width="2.28515625" style="146" customWidth="1"/>
    <col min="15096" max="15096" width="11" style="146" customWidth="1"/>
    <col min="15097" max="15097" width="13.140625" style="146" customWidth="1"/>
    <col min="15098" max="15098" width="12.140625" style="146" customWidth="1"/>
    <col min="15099" max="15099" width="7.42578125" style="146" customWidth="1"/>
    <col min="15100" max="15100" width="8.42578125" style="146" customWidth="1"/>
    <col min="15101" max="15101" width="8.140625" style="146" customWidth="1"/>
    <col min="15102" max="15102" width="5.85546875" style="146" customWidth="1"/>
    <col min="15103" max="15103" width="5.7109375" style="146" customWidth="1"/>
    <col min="15104" max="15104" width="8" style="146" customWidth="1"/>
    <col min="15105" max="15105" width="6.5703125" style="146" customWidth="1"/>
    <col min="15106" max="15106" width="6.85546875" style="146" customWidth="1"/>
    <col min="15107" max="15107" width="6.28515625" style="146" customWidth="1"/>
    <col min="15108" max="15108" width="6.5703125" style="146" customWidth="1"/>
    <col min="15109" max="15109" width="5.28515625" style="146" customWidth="1"/>
    <col min="15110" max="15110" width="6.140625" style="146" customWidth="1"/>
    <col min="15111" max="15112" width="5.42578125" style="146" customWidth="1"/>
    <col min="15113" max="15113" width="6.7109375" style="146" customWidth="1"/>
    <col min="15114" max="15114" width="6.5703125" style="146" customWidth="1"/>
    <col min="15115" max="15115" width="6.42578125" style="146" customWidth="1"/>
    <col min="15116" max="15116" width="6.5703125" style="146" customWidth="1"/>
    <col min="15117" max="15117" width="5.85546875" style="146" customWidth="1"/>
    <col min="15118" max="15118" width="6.28515625" style="146" customWidth="1"/>
    <col min="15119" max="15140" width="0" style="146" hidden="1" customWidth="1"/>
    <col min="15141" max="15141" width="0.7109375" style="146" customWidth="1"/>
    <col min="15142" max="15142" width="8.42578125" style="146" customWidth="1"/>
    <col min="15143" max="15144" width="0" style="146" hidden="1" customWidth="1"/>
    <col min="15145" max="15145" width="5" style="146" customWidth="1"/>
    <col min="15146" max="15146" width="7.42578125" style="146" customWidth="1"/>
    <col min="15147" max="15147" width="6.42578125" style="146" customWidth="1"/>
    <col min="15148" max="15148" width="6.140625" style="146" customWidth="1"/>
    <col min="15149" max="15149" width="0" style="146" hidden="1" customWidth="1"/>
    <col min="15150" max="15150" width="6.5703125" style="146" customWidth="1"/>
    <col min="15151" max="15152" width="7.5703125" style="146" customWidth="1"/>
    <col min="15153" max="15153" width="2.7109375" style="146" customWidth="1"/>
    <col min="15154" max="15154" width="15.140625" style="146" customWidth="1"/>
    <col min="15155" max="15155" width="2.7109375" style="146" customWidth="1"/>
    <col min="15156" max="15156" width="8.42578125" style="146" customWidth="1"/>
    <col min="15157" max="15157" width="2.7109375" style="146" customWidth="1"/>
    <col min="15158" max="15158" width="13.7109375" style="146" customWidth="1"/>
    <col min="15159" max="15159" width="2.7109375" style="146" customWidth="1"/>
    <col min="15160" max="15160" width="9.7109375" style="146" customWidth="1"/>
    <col min="15161" max="15161" width="2.7109375" style="146" customWidth="1"/>
    <col min="15162" max="15162" width="1" style="146" customWidth="1"/>
    <col min="15163" max="15163" width="6.7109375" style="146" customWidth="1"/>
    <col min="15164" max="15164" width="8.140625" style="146" customWidth="1"/>
    <col min="15165" max="15165" width="7.85546875" style="146" customWidth="1"/>
    <col min="15166" max="15166" width="8.28515625" style="146" customWidth="1"/>
    <col min="15167" max="15168" width="9.140625" style="146" customWidth="1"/>
    <col min="15169" max="15169" width="32.5703125" style="146" customWidth="1"/>
    <col min="15170" max="15170" width="9.140625" style="146" customWidth="1"/>
    <col min="15171" max="15171" width="3.140625" style="146" customWidth="1"/>
    <col min="15172" max="15172" width="13.85546875" style="146" customWidth="1"/>
    <col min="15173" max="15173" width="4.140625" style="146" customWidth="1"/>
    <col min="15174" max="15174" width="18.28515625" style="146" customWidth="1"/>
    <col min="15175" max="15175" width="1.5703125" style="146" customWidth="1"/>
    <col min="15176" max="15176" width="6" style="146" customWidth="1"/>
    <col min="15177" max="15177" width="2.5703125" style="146" customWidth="1"/>
    <col min="15178" max="15178" width="10.28515625" style="146" customWidth="1"/>
    <col min="15179" max="15179" width="5.42578125" style="146" customWidth="1"/>
    <col min="15180" max="15350" width="9.140625" style="146"/>
    <col min="15351" max="15351" width="2.28515625" style="146" customWidth="1"/>
    <col min="15352" max="15352" width="11" style="146" customWidth="1"/>
    <col min="15353" max="15353" width="13.140625" style="146" customWidth="1"/>
    <col min="15354" max="15354" width="12.140625" style="146" customWidth="1"/>
    <col min="15355" max="15355" width="7.42578125" style="146" customWidth="1"/>
    <col min="15356" max="15356" width="8.42578125" style="146" customWidth="1"/>
    <col min="15357" max="15357" width="8.140625" style="146" customWidth="1"/>
    <col min="15358" max="15358" width="5.85546875" style="146" customWidth="1"/>
    <col min="15359" max="15359" width="5.7109375" style="146" customWidth="1"/>
    <col min="15360" max="15360" width="8" style="146" customWidth="1"/>
    <col min="15361" max="15361" width="6.5703125" style="146" customWidth="1"/>
    <col min="15362" max="15362" width="6.85546875" style="146" customWidth="1"/>
    <col min="15363" max="15363" width="6.28515625" style="146" customWidth="1"/>
    <col min="15364" max="15364" width="6.5703125" style="146" customWidth="1"/>
    <col min="15365" max="15365" width="5.28515625" style="146" customWidth="1"/>
    <col min="15366" max="15366" width="6.140625" style="146" customWidth="1"/>
    <col min="15367" max="15368" width="5.42578125" style="146" customWidth="1"/>
    <col min="15369" max="15369" width="6.7109375" style="146" customWidth="1"/>
    <col min="15370" max="15370" width="6.5703125" style="146" customWidth="1"/>
    <col min="15371" max="15371" width="6.42578125" style="146" customWidth="1"/>
    <col min="15372" max="15372" width="6.5703125" style="146" customWidth="1"/>
    <col min="15373" max="15373" width="5.85546875" style="146" customWidth="1"/>
    <col min="15374" max="15374" width="6.28515625" style="146" customWidth="1"/>
    <col min="15375" max="15396" width="0" style="146" hidden="1" customWidth="1"/>
    <col min="15397" max="15397" width="0.7109375" style="146" customWidth="1"/>
    <col min="15398" max="15398" width="8.42578125" style="146" customWidth="1"/>
    <col min="15399" max="15400" width="0" style="146" hidden="1" customWidth="1"/>
    <col min="15401" max="15401" width="5" style="146" customWidth="1"/>
    <col min="15402" max="15402" width="7.42578125" style="146" customWidth="1"/>
    <col min="15403" max="15403" width="6.42578125" style="146" customWidth="1"/>
    <col min="15404" max="15404" width="6.140625" style="146" customWidth="1"/>
    <col min="15405" max="15405" width="0" style="146" hidden="1" customWidth="1"/>
    <col min="15406" max="15406" width="6.5703125" style="146" customWidth="1"/>
    <col min="15407" max="15408" width="7.5703125" style="146" customWidth="1"/>
    <col min="15409" max="15409" width="2.7109375" style="146" customWidth="1"/>
    <col min="15410" max="15410" width="15.140625" style="146" customWidth="1"/>
    <col min="15411" max="15411" width="2.7109375" style="146" customWidth="1"/>
    <col min="15412" max="15412" width="8.42578125" style="146" customWidth="1"/>
    <col min="15413" max="15413" width="2.7109375" style="146" customWidth="1"/>
    <col min="15414" max="15414" width="13.7109375" style="146" customWidth="1"/>
    <col min="15415" max="15415" width="2.7109375" style="146" customWidth="1"/>
    <col min="15416" max="15416" width="9.7109375" style="146" customWidth="1"/>
    <col min="15417" max="15417" width="2.7109375" style="146" customWidth="1"/>
    <col min="15418" max="15418" width="1" style="146" customWidth="1"/>
    <col min="15419" max="15419" width="6.7109375" style="146" customWidth="1"/>
    <col min="15420" max="15420" width="8.140625" style="146" customWidth="1"/>
    <col min="15421" max="15421" width="7.85546875" style="146" customWidth="1"/>
    <col min="15422" max="15422" width="8.28515625" style="146" customWidth="1"/>
    <col min="15423" max="15424" width="9.140625" style="146" customWidth="1"/>
    <col min="15425" max="15425" width="32.5703125" style="146" customWidth="1"/>
    <col min="15426" max="15426" width="9.140625" style="146" customWidth="1"/>
    <col min="15427" max="15427" width="3.140625" style="146" customWidth="1"/>
    <col min="15428" max="15428" width="13.85546875" style="146" customWidth="1"/>
    <col min="15429" max="15429" width="4.140625" style="146" customWidth="1"/>
    <col min="15430" max="15430" width="18.28515625" style="146" customWidth="1"/>
    <col min="15431" max="15431" width="1.5703125" style="146" customWidth="1"/>
    <col min="15432" max="15432" width="6" style="146" customWidth="1"/>
    <col min="15433" max="15433" width="2.5703125" style="146" customWidth="1"/>
    <col min="15434" max="15434" width="10.28515625" style="146" customWidth="1"/>
    <col min="15435" max="15435" width="5.42578125" style="146" customWidth="1"/>
    <col min="15436" max="15606" width="9.140625" style="146"/>
    <col min="15607" max="15607" width="2.28515625" style="146" customWidth="1"/>
    <col min="15608" max="15608" width="11" style="146" customWidth="1"/>
    <col min="15609" max="15609" width="13.140625" style="146" customWidth="1"/>
    <col min="15610" max="15610" width="12.140625" style="146" customWidth="1"/>
    <col min="15611" max="15611" width="7.42578125" style="146" customWidth="1"/>
    <col min="15612" max="15612" width="8.42578125" style="146" customWidth="1"/>
    <col min="15613" max="15613" width="8.140625" style="146" customWidth="1"/>
    <col min="15614" max="15614" width="5.85546875" style="146" customWidth="1"/>
    <col min="15615" max="15615" width="5.7109375" style="146" customWidth="1"/>
    <col min="15616" max="15616" width="8" style="146" customWidth="1"/>
    <col min="15617" max="15617" width="6.5703125" style="146" customWidth="1"/>
    <col min="15618" max="15618" width="6.85546875" style="146" customWidth="1"/>
    <col min="15619" max="15619" width="6.28515625" style="146" customWidth="1"/>
    <col min="15620" max="15620" width="6.5703125" style="146" customWidth="1"/>
    <col min="15621" max="15621" width="5.28515625" style="146" customWidth="1"/>
    <col min="15622" max="15622" width="6.140625" style="146" customWidth="1"/>
    <col min="15623" max="15624" width="5.42578125" style="146" customWidth="1"/>
    <col min="15625" max="15625" width="6.7109375" style="146" customWidth="1"/>
    <col min="15626" max="15626" width="6.5703125" style="146" customWidth="1"/>
    <col min="15627" max="15627" width="6.42578125" style="146" customWidth="1"/>
    <col min="15628" max="15628" width="6.5703125" style="146" customWidth="1"/>
    <col min="15629" max="15629" width="5.85546875" style="146" customWidth="1"/>
    <col min="15630" max="15630" width="6.28515625" style="146" customWidth="1"/>
    <col min="15631" max="15652" width="0" style="146" hidden="1" customWidth="1"/>
    <col min="15653" max="15653" width="0.7109375" style="146" customWidth="1"/>
    <col min="15654" max="15654" width="8.42578125" style="146" customWidth="1"/>
    <col min="15655" max="15656" width="0" style="146" hidden="1" customWidth="1"/>
    <col min="15657" max="15657" width="5" style="146" customWidth="1"/>
    <col min="15658" max="15658" width="7.42578125" style="146" customWidth="1"/>
    <col min="15659" max="15659" width="6.42578125" style="146" customWidth="1"/>
    <col min="15660" max="15660" width="6.140625" style="146" customWidth="1"/>
    <col min="15661" max="15661" width="0" style="146" hidden="1" customWidth="1"/>
    <col min="15662" max="15662" width="6.5703125" style="146" customWidth="1"/>
    <col min="15663" max="15664" width="7.5703125" style="146" customWidth="1"/>
    <col min="15665" max="15665" width="2.7109375" style="146" customWidth="1"/>
    <col min="15666" max="15666" width="15.140625" style="146" customWidth="1"/>
    <col min="15667" max="15667" width="2.7109375" style="146" customWidth="1"/>
    <col min="15668" max="15668" width="8.42578125" style="146" customWidth="1"/>
    <col min="15669" max="15669" width="2.7109375" style="146" customWidth="1"/>
    <col min="15670" max="15670" width="13.7109375" style="146" customWidth="1"/>
    <col min="15671" max="15671" width="2.7109375" style="146" customWidth="1"/>
    <col min="15672" max="15672" width="9.7109375" style="146" customWidth="1"/>
    <col min="15673" max="15673" width="2.7109375" style="146" customWidth="1"/>
    <col min="15674" max="15674" width="1" style="146" customWidth="1"/>
    <col min="15675" max="15675" width="6.7109375" style="146" customWidth="1"/>
    <col min="15676" max="15676" width="8.140625" style="146" customWidth="1"/>
    <col min="15677" max="15677" width="7.85546875" style="146" customWidth="1"/>
    <col min="15678" max="15678" width="8.28515625" style="146" customWidth="1"/>
    <col min="15679" max="15680" width="9.140625" style="146" customWidth="1"/>
    <col min="15681" max="15681" width="32.5703125" style="146" customWidth="1"/>
    <col min="15682" max="15682" width="9.140625" style="146" customWidth="1"/>
    <col min="15683" max="15683" width="3.140625" style="146" customWidth="1"/>
    <col min="15684" max="15684" width="13.85546875" style="146" customWidth="1"/>
    <col min="15685" max="15685" width="4.140625" style="146" customWidth="1"/>
    <col min="15686" max="15686" width="18.28515625" style="146" customWidth="1"/>
    <col min="15687" max="15687" width="1.5703125" style="146" customWidth="1"/>
    <col min="15688" max="15688" width="6" style="146" customWidth="1"/>
    <col min="15689" max="15689" width="2.5703125" style="146" customWidth="1"/>
    <col min="15690" max="15690" width="10.28515625" style="146" customWidth="1"/>
    <col min="15691" max="15691" width="5.42578125" style="146" customWidth="1"/>
    <col min="15692" max="15862" width="9.140625" style="146"/>
    <col min="15863" max="15863" width="2.28515625" style="146" customWidth="1"/>
    <col min="15864" max="15864" width="11" style="146" customWidth="1"/>
    <col min="15865" max="15865" width="13.140625" style="146" customWidth="1"/>
    <col min="15866" max="15866" width="12.140625" style="146" customWidth="1"/>
    <col min="15867" max="15867" width="7.42578125" style="146" customWidth="1"/>
    <col min="15868" max="15868" width="8.42578125" style="146" customWidth="1"/>
    <col min="15869" max="15869" width="8.140625" style="146" customWidth="1"/>
    <col min="15870" max="15870" width="5.85546875" style="146" customWidth="1"/>
    <col min="15871" max="15871" width="5.7109375" style="146" customWidth="1"/>
    <col min="15872" max="15872" width="8" style="146" customWidth="1"/>
    <col min="15873" max="15873" width="6.5703125" style="146" customWidth="1"/>
    <col min="15874" max="15874" width="6.85546875" style="146" customWidth="1"/>
    <col min="15875" max="15875" width="6.28515625" style="146" customWidth="1"/>
    <col min="15876" max="15876" width="6.5703125" style="146" customWidth="1"/>
    <col min="15877" max="15877" width="5.28515625" style="146" customWidth="1"/>
    <col min="15878" max="15878" width="6.140625" style="146" customWidth="1"/>
    <col min="15879" max="15880" width="5.42578125" style="146" customWidth="1"/>
    <col min="15881" max="15881" width="6.7109375" style="146" customWidth="1"/>
    <col min="15882" max="15882" width="6.5703125" style="146" customWidth="1"/>
    <col min="15883" max="15883" width="6.42578125" style="146" customWidth="1"/>
    <col min="15884" max="15884" width="6.5703125" style="146" customWidth="1"/>
    <col min="15885" max="15885" width="5.85546875" style="146" customWidth="1"/>
    <col min="15886" max="15886" width="6.28515625" style="146" customWidth="1"/>
    <col min="15887" max="15908" width="0" style="146" hidden="1" customWidth="1"/>
    <col min="15909" max="15909" width="0.7109375" style="146" customWidth="1"/>
    <col min="15910" max="15910" width="8.42578125" style="146" customWidth="1"/>
    <col min="15911" max="15912" width="0" style="146" hidden="1" customWidth="1"/>
    <col min="15913" max="15913" width="5" style="146" customWidth="1"/>
    <col min="15914" max="15914" width="7.42578125" style="146" customWidth="1"/>
    <col min="15915" max="15915" width="6.42578125" style="146" customWidth="1"/>
    <col min="15916" max="15916" width="6.140625" style="146" customWidth="1"/>
    <col min="15917" max="15917" width="0" style="146" hidden="1" customWidth="1"/>
    <col min="15918" max="15918" width="6.5703125" style="146" customWidth="1"/>
    <col min="15919" max="15920" width="7.5703125" style="146" customWidth="1"/>
    <col min="15921" max="15921" width="2.7109375" style="146" customWidth="1"/>
    <col min="15922" max="15922" width="15.140625" style="146" customWidth="1"/>
    <col min="15923" max="15923" width="2.7109375" style="146" customWidth="1"/>
    <col min="15924" max="15924" width="8.42578125" style="146" customWidth="1"/>
    <col min="15925" max="15925" width="2.7109375" style="146" customWidth="1"/>
    <col min="15926" max="15926" width="13.7109375" style="146" customWidth="1"/>
    <col min="15927" max="15927" width="2.7109375" style="146" customWidth="1"/>
    <col min="15928" max="15928" width="9.7109375" style="146" customWidth="1"/>
    <col min="15929" max="15929" width="2.7109375" style="146" customWidth="1"/>
    <col min="15930" max="15930" width="1" style="146" customWidth="1"/>
    <col min="15931" max="15931" width="6.7109375" style="146" customWidth="1"/>
    <col min="15932" max="15932" width="8.140625" style="146" customWidth="1"/>
    <col min="15933" max="15933" width="7.85546875" style="146" customWidth="1"/>
    <col min="15934" max="15934" width="8.28515625" style="146" customWidth="1"/>
    <col min="15935" max="15936" width="9.140625" style="146" customWidth="1"/>
    <col min="15937" max="15937" width="32.5703125" style="146" customWidth="1"/>
    <col min="15938" max="15938" width="9.140625" style="146" customWidth="1"/>
    <col min="15939" max="15939" width="3.140625" style="146" customWidth="1"/>
    <col min="15940" max="15940" width="13.85546875" style="146" customWidth="1"/>
    <col min="15941" max="15941" width="4.140625" style="146" customWidth="1"/>
    <col min="15942" max="15942" width="18.28515625" style="146" customWidth="1"/>
    <col min="15943" max="15943" width="1.5703125" style="146" customWidth="1"/>
    <col min="15944" max="15944" width="6" style="146" customWidth="1"/>
    <col min="15945" max="15945" width="2.5703125" style="146" customWidth="1"/>
    <col min="15946" max="15946" width="10.28515625" style="146" customWidth="1"/>
    <col min="15947" max="15947" width="5.42578125" style="146" customWidth="1"/>
    <col min="15948" max="16118" width="9.140625" style="146"/>
    <col min="16119" max="16119" width="2.28515625" style="146" customWidth="1"/>
    <col min="16120" max="16120" width="11" style="146" customWidth="1"/>
    <col min="16121" max="16121" width="13.140625" style="146" customWidth="1"/>
    <col min="16122" max="16122" width="12.140625" style="146" customWidth="1"/>
    <col min="16123" max="16123" width="7.42578125" style="146" customWidth="1"/>
    <col min="16124" max="16124" width="8.42578125" style="146" customWidth="1"/>
    <col min="16125" max="16125" width="8.140625" style="146" customWidth="1"/>
    <col min="16126" max="16126" width="5.85546875" style="146" customWidth="1"/>
    <col min="16127" max="16127" width="5.7109375" style="146" customWidth="1"/>
    <col min="16128" max="16128" width="8" style="146" customWidth="1"/>
    <col min="16129" max="16129" width="6.5703125" style="146" customWidth="1"/>
    <col min="16130" max="16130" width="6.85546875" style="146" customWidth="1"/>
    <col min="16131" max="16131" width="6.28515625" style="146" customWidth="1"/>
    <col min="16132" max="16132" width="6.5703125" style="146" customWidth="1"/>
    <col min="16133" max="16133" width="5.28515625" style="146" customWidth="1"/>
    <col min="16134" max="16134" width="6.140625" style="146" customWidth="1"/>
    <col min="16135" max="16136" width="5.42578125" style="146" customWidth="1"/>
    <col min="16137" max="16137" width="6.7109375" style="146" customWidth="1"/>
    <col min="16138" max="16138" width="6.5703125" style="146" customWidth="1"/>
    <col min="16139" max="16139" width="6.42578125" style="146" customWidth="1"/>
    <col min="16140" max="16140" width="6.5703125" style="146" customWidth="1"/>
    <col min="16141" max="16141" width="5.85546875" style="146" customWidth="1"/>
    <col min="16142" max="16142" width="6.28515625" style="146" customWidth="1"/>
    <col min="16143" max="16164" width="0" style="146" hidden="1" customWidth="1"/>
    <col min="16165" max="16165" width="0.7109375" style="146" customWidth="1"/>
    <col min="16166" max="16166" width="8.42578125" style="146" customWidth="1"/>
    <col min="16167" max="16168" width="0" style="146" hidden="1" customWidth="1"/>
    <col min="16169" max="16169" width="5" style="146" customWidth="1"/>
    <col min="16170" max="16170" width="7.42578125" style="146" customWidth="1"/>
    <col min="16171" max="16171" width="6.42578125" style="146" customWidth="1"/>
    <col min="16172" max="16172" width="6.140625" style="146" customWidth="1"/>
    <col min="16173" max="16173" width="0" style="146" hidden="1" customWidth="1"/>
    <col min="16174" max="16174" width="6.5703125" style="146" customWidth="1"/>
    <col min="16175" max="16176" width="7.5703125" style="146" customWidth="1"/>
    <col min="16177" max="16177" width="2.7109375" style="146" customWidth="1"/>
    <col min="16178" max="16178" width="15.140625" style="146" customWidth="1"/>
    <col min="16179" max="16179" width="2.7109375" style="146" customWidth="1"/>
    <col min="16180" max="16180" width="8.42578125" style="146" customWidth="1"/>
    <col min="16181" max="16181" width="2.7109375" style="146" customWidth="1"/>
    <col min="16182" max="16182" width="13.7109375" style="146" customWidth="1"/>
    <col min="16183" max="16183" width="2.7109375" style="146" customWidth="1"/>
    <col min="16184" max="16184" width="9.7109375" style="146" customWidth="1"/>
    <col min="16185" max="16185" width="2.7109375" style="146" customWidth="1"/>
    <col min="16186" max="16186" width="1" style="146" customWidth="1"/>
    <col min="16187" max="16187" width="6.7109375" style="146" customWidth="1"/>
    <col min="16188" max="16188" width="8.140625" style="146" customWidth="1"/>
    <col min="16189" max="16189" width="7.85546875" style="146" customWidth="1"/>
    <col min="16190" max="16190" width="8.28515625" style="146" customWidth="1"/>
    <col min="16191" max="16192" width="9.140625" style="146" customWidth="1"/>
    <col min="16193" max="16193" width="32.5703125" style="146" customWidth="1"/>
    <col min="16194" max="16194" width="9.140625" style="146" customWidth="1"/>
    <col min="16195" max="16195" width="3.140625" style="146" customWidth="1"/>
    <col min="16196" max="16196" width="13.85546875" style="146" customWidth="1"/>
    <col min="16197" max="16197" width="4.140625" style="146" customWidth="1"/>
    <col min="16198" max="16198" width="18.28515625" style="146" customWidth="1"/>
    <col min="16199" max="16199" width="1.5703125" style="146" customWidth="1"/>
    <col min="16200" max="16200" width="6" style="146" customWidth="1"/>
    <col min="16201" max="16201" width="2.5703125" style="146" customWidth="1"/>
    <col min="16202" max="16202" width="10.28515625" style="146" customWidth="1"/>
    <col min="16203" max="16203" width="5.42578125" style="146" customWidth="1"/>
    <col min="16204" max="16384" width="9.140625" style="146"/>
  </cols>
  <sheetData>
    <row r="2" spans="2:82" ht="14.25" customHeight="1" x14ac:dyDescent="0.2">
      <c r="B2" s="144" t="s">
        <v>59</v>
      </c>
      <c r="C2" s="145"/>
      <c r="D2" s="716" t="str">
        <f>Aspal!C2</f>
        <v>SUMBA BARAT</v>
      </c>
      <c r="E2" s="717"/>
      <c r="F2" s="717"/>
      <c r="G2" s="717"/>
      <c r="H2" s="717"/>
      <c r="I2" s="717"/>
      <c r="J2" s="717"/>
      <c r="K2" s="717"/>
      <c r="L2" s="717"/>
      <c r="M2" s="718"/>
    </row>
    <row r="3" spans="2:82" x14ac:dyDescent="0.2">
      <c r="B3" s="144" t="s">
        <v>60</v>
      </c>
      <c r="C3" s="149"/>
      <c r="D3" s="719" t="str">
        <f>Aspal!C3</f>
        <v>002</v>
      </c>
      <c r="E3" s="717"/>
      <c r="F3" s="717"/>
      <c r="G3" s="717"/>
      <c r="H3" s="717"/>
      <c r="I3" s="717"/>
      <c r="J3" s="717"/>
      <c r="K3" s="717"/>
      <c r="L3" s="717"/>
      <c r="M3" s="718"/>
    </row>
    <row r="4" spans="2:82" ht="15.75" customHeight="1" x14ac:dyDescent="0.2">
      <c r="B4" s="144" t="s">
        <v>37</v>
      </c>
      <c r="C4" s="150"/>
      <c r="D4" s="720" t="str">
        <f>Aspal!C4</f>
        <v>Kalimbukuni - Lahi Kaninu</v>
      </c>
      <c r="E4" s="717"/>
      <c r="F4" s="717"/>
      <c r="G4" s="717"/>
      <c r="H4" s="717"/>
      <c r="I4" s="717"/>
      <c r="J4" s="717"/>
      <c r="K4" s="717"/>
      <c r="L4" s="717"/>
      <c r="M4" s="718"/>
    </row>
    <row r="5" spans="2:82" ht="15" customHeight="1" thickBot="1" x14ac:dyDescent="0.25">
      <c r="B5" s="144"/>
      <c r="C5" s="151"/>
      <c r="D5" s="151"/>
      <c r="E5" s="151"/>
      <c r="F5" s="151"/>
      <c r="G5" s="151"/>
      <c r="H5" s="144"/>
      <c r="I5" s="144"/>
      <c r="J5" s="144"/>
      <c r="K5" s="144"/>
      <c r="L5" s="144"/>
    </row>
    <row r="6" spans="2:82" s="251" customFormat="1" ht="21" customHeight="1" thickBot="1" x14ac:dyDescent="0.25">
      <c r="B6" s="253"/>
      <c r="C6" s="254"/>
      <c r="D6" s="254"/>
      <c r="E6" s="721" t="s">
        <v>170</v>
      </c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3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6" t="s">
        <v>171</v>
      </c>
      <c r="AW6" s="257"/>
      <c r="AX6" s="255"/>
      <c r="AY6" s="258"/>
      <c r="AZ6" s="724" t="s">
        <v>172</v>
      </c>
      <c r="BA6" s="725"/>
      <c r="BB6" s="725"/>
      <c r="BC6" s="725"/>
      <c r="BD6" s="725"/>
      <c r="BE6" s="725"/>
      <c r="BF6" s="726"/>
      <c r="BG6" s="259"/>
      <c r="BH6" s="260" t="s">
        <v>99</v>
      </c>
      <c r="BI6" s="261"/>
      <c r="BJ6" s="260" t="s">
        <v>100</v>
      </c>
      <c r="BK6" s="262"/>
      <c r="BL6" s="263" t="s">
        <v>101</v>
      </c>
      <c r="BM6" s="261"/>
      <c r="BN6" s="260" t="s">
        <v>102</v>
      </c>
      <c r="BX6" s="152" t="s">
        <v>102</v>
      </c>
      <c r="BY6" s="679" t="s">
        <v>103</v>
      </c>
      <c r="BZ6" s="681"/>
      <c r="CA6" s="679" t="s">
        <v>104</v>
      </c>
      <c r="CB6" s="680"/>
      <c r="CC6" s="680"/>
      <c r="CD6" s="681"/>
    </row>
    <row r="7" spans="2:82" s="251" customFormat="1" ht="21" customHeight="1" thickBot="1" x14ac:dyDescent="0.25">
      <c r="B7" s="682" t="s">
        <v>39</v>
      </c>
      <c r="C7" s="683"/>
      <c r="D7" s="685" t="s">
        <v>40</v>
      </c>
      <c r="E7" s="639" t="s">
        <v>62</v>
      </c>
      <c r="F7" s="639"/>
      <c r="G7" s="687"/>
      <c r="H7" s="688" t="s">
        <v>173</v>
      </c>
      <c r="I7" s="689"/>
      <c r="J7" s="690"/>
      <c r="K7" s="691" t="s">
        <v>64</v>
      </c>
      <c r="L7" s="689"/>
      <c r="M7" s="689"/>
      <c r="N7" s="692"/>
      <c r="O7" s="688" t="s">
        <v>65</v>
      </c>
      <c r="P7" s="689"/>
      <c r="Q7" s="689"/>
      <c r="R7" s="689"/>
      <c r="S7" s="689"/>
      <c r="T7" s="689"/>
      <c r="U7" s="689"/>
      <c r="V7" s="689"/>
      <c r="W7" s="689"/>
      <c r="X7" s="692"/>
      <c r="Y7" s="693" t="s">
        <v>66</v>
      </c>
      <c r="Z7" s="646"/>
      <c r="AA7" s="646"/>
      <c r="AB7" s="646"/>
      <c r="AC7" s="646"/>
      <c r="AD7" s="646"/>
      <c r="AE7" s="646"/>
      <c r="AF7" s="646"/>
      <c r="AG7" s="646"/>
      <c r="AH7" s="646"/>
      <c r="AI7" s="646"/>
      <c r="AJ7" s="646"/>
      <c r="AK7" s="646"/>
      <c r="AL7" s="646"/>
      <c r="AM7" s="646"/>
      <c r="AN7" s="646"/>
      <c r="AO7" s="646"/>
      <c r="AP7" s="646"/>
      <c r="AQ7" s="646"/>
      <c r="AR7" s="646"/>
      <c r="AS7" s="646"/>
      <c r="AT7" s="646"/>
      <c r="AU7" s="255"/>
      <c r="AV7" s="694" t="s">
        <v>174</v>
      </c>
      <c r="AW7" s="697" t="s">
        <v>66</v>
      </c>
      <c r="AX7" s="702" t="s">
        <v>68</v>
      </c>
      <c r="AY7" s="264"/>
      <c r="AZ7" s="727"/>
      <c r="BA7" s="728"/>
      <c r="BB7" s="728"/>
      <c r="BC7" s="729"/>
      <c r="BD7" s="728"/>
      <c r="BE7" s="728"/>
      <c r="BF7" s="730"/>
      <c r="BG7" s="259"/>
      <c r="BH7" s="265" t="s">
        <v>105</v>
      </c>
      <c r="BI7" s="261"/>
      <c r="BJ7" s="266" t="s">
        <v>55</v>
      </c>
      <c r="BK7" s="267"/>
      <c r="BL7" s="268" t="s">
        <v>106</v>
      </c>
      <c r="BM7" s="261"/>
      <c r="BN7" s="705" t="s">
        <v>107</v>
      </c>
      <c r="BO7" s="155"/>
      <c r="BQ7" s="708" t="s">
        <v>175</v>
      </c>
      <c r="BR7" s="709"/>
      <c r="BS7" s="709"/>
      <c r="BT7" s="710"/>
      <c r="BU7" s="711" t="s">
        <v>41</v>
      </c>
      <c r="BV7" s="712"/>
      <c r="BW7" s="252"/>
      <c r="BX7" s="173" t="s">
        <v>107</v>
      </c>
      <c r="BY7" s="173" t="s">
        <v>108</v>
      </c>
      <c r="BZ7" s="173" t="s">
        <v>109</v>
      </c>
      <c r="CA7" s="700" t="s">
        <v>108</v>
      </c>
      <c r="CB7" s="701"/>
      <c r="CC7" s="700" t="s">
        <v>109</v>
      </c>
      <c r="CD7" s="701"/>
    </row>
    <row r="8" spans="2:82" ht="25.5" customHeight="1" thickBot="1" x14ac:dyDescent="0.25">
      <c r="B8" s="633"/>
      <c r="C8" s="684"/>
      <c r="D8" s="686"/>
      <c r="E8" s="631" t="s">
        <v>176</v>
      </c>
      <c r="F8" s="628" t="s">
        <v>74</v>
      </c>
      <c r="G8" s="674" t="s">
        <v>177</v>
      </c>
      <c r="H8" s="631" t="s">
        <v>178</v>
      </c>
      <c r="I8" s="628" t="s">
        <v>179</v>
      </c>
      <c r="J8" s="677" t="s">
        <v>180</v>
      </c>
      <c r="K8" s="633" t="s">
        <v>79</v>
      </c>
      <c r="L8" s="628" t="s">
        <v>80</v>
      </c>
      <c r="M8" s="628" t="s">
        <v>81</v>
      </c>
      <c r="N8" s="629" t="s">
        <v>181</v>
      </c>
      <c r="O8" s="631" t="s">
        <v>83</v>
      </c>
      <c r="P8" s="628"/>
      <c r="Q8" s="628" t="s">
        <v>84</v>
      </c>
      <c r="R8" s="628"/>
      <c r="S8" s="628" t="s">
        <v>85</v>
      </c>
      <c r="T8" s="628"/>
      <c r="U8" s="628" t="s">
        <v>86</v>
      </c>
      <c r="V8" s="628"/>
      <c r="W8" s="646" t="s">
        <v>87</v>
      </c>
      <c r="X8" s="647"/>
      <c r="Y8" s="648" t="s">
        <v>88</v>
      </c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8"/>
      <c r="AN8" s="648"/>
      <c r="AO8" s="648"/>
      <c r="AP8" s="648"/>
      <c r="AQ8" s="648"/>
      <c r="AR8" s="648"/>
      <c r="AS8" s="648"/>
      <c r="AT8" s="649"/>
      <c r="AU8" s="257"/>
      <c r="AV8" s="695"/>
      <c r="AW8" s="698"/>
      <c r="AX8" s="703"/>
      <c r="AY8" s="264"/>
      <c r="AZ8" s="654" t="s">
        <v>182</v>
      </c>
      <c r="BA8" s="655"/>
      <c r="BB8" s="656"/>
      <c r="BC8" s="663" t="s">
        <v>66</v>
      </c>
      <c r="BD8" s="665" t="s">
        <v>183</v>
      </c>
      <c r="BE8" s="666"/>
      <c r="BF8" s="667"/>
      <c r="BG8" s="269"/>
      <c r="BH8" s="270" t="s">
        <v>110</v>
      </c>
      <c r="BI8" s="261"/>
      <c r="BJ8" s="271" t="s">
        <v>56</v>
      </c>
      <c r="BK8" s="267"/>
      <c r="BL8" s="268" t="s">
        <v>111</v>
      </c>
      <c r="BM8" s="261"/>
      <c r="BN8" s="706"/>
      <c r="BO8" s="155"/>
      <c r="BQ8" s="713" t="s">
        <v>42</v>
      </c>
      <c r="BR8" s="714"/>
      <c r="BS8" s="714"/>
      <c r="BT8" s="715"/>
      <c r="BU8" s="634" t="s">
        <v>42</v>
      </c>
      <c r="BV8" s="635"/>
      <c r="BW8" s="157" t="s">
        <v>43</v>
      </c>
      <c r="BX8" s="156"/>
      <c r="BY8" s="156" t="s">
        <v>107</v>
      </c>
      <c r="BZ8" s="156" t="s">
        <v>107</v>
      </c>
      <c r="CA8" s="156" t="s">
        <v>112</v>
      </c>
      <c r="CB8" s="154" t="s">
        <v>113</v>
      </c>
      <c r="CC8" s="156" t="s">
        <v>112</v>
      </c>
      <c r="CD8" s="154" t="s">
        <v>113</v>
      </c>
    </row>
    <row r="9" spans="2:82" ht="19.5" customHeight="1" x14ac:dyDescent="0.2">
      <c r="B9" s="636" t="s">
        <v>44</v>
      </c>
      <c r="C9" s="638" t="s">
        <v>45</v>
      </c>
      <c r="D9" s="686"/>
      <c r="E9" s="631"/>
      <c r="F9" s="628"/>
      <c r="G9" s="674"/>
      <c r="H9" s="675"/>
      <c r="I9" s="676"/>
      <c r="J9" s="678"/>
      <c r="K9" s="633"/>
      <c r="L9" s="628"/>
      <c r="M9" s="628"/>
      <c r="N9" s="630"/>
      <c r="O9" s="272" t="s">
        <v>93</v>
      </c>
      <c r="P9" s="273" t="s">
        <v>94</v>
      </c>
      <c r="Q9" s="273" t="s">
        <v>93</v>
      </c>
      <c r="R9" s="273" t="s">
        <v>94</v>
      </c>
      <c r="S9" s="273" t="s">
        <v>93</v>
      </c>
      <c r="T9" s="273" t="s">
        <v>94</v>
      </c>
      <c r="U9" s="273" t="s">
        <v>93</v>
      </c>
      <c r="V9" s="273" t="s">
        <v>94</v>
      </c>
      <c r="W9" s="273" t="s">
        <v>93</v>
      </c>
      <c r="X9" s="274" t="s">
        <v>94</v>
      </c>
      <c r="Y9" s="650"/>
      <c r="Z9" s="650"/>
      <c r="AA9" s="650"/>
      <c r="AB9" s="650"/>
      <c r="AC9" s="650"/>
      <c r="AD9" s="650"/>
      <c r="AE9" s="650"/>
      <c r="AF9" s="650"/>
      <c r="AG9" s="650"/>
      <c r="AH9" s="650"/>
      <c r="AI9" s="650"/>
      <c r="AJ9" s="650"/>
      <c r="AK9" s="650"/>
      <c r="AL9" s="650"/>
      <c r="AM9" s="650"/>
      <c r="AN9" s="650"/>
      <c r="AO9" s="650"/>
      <c r="AP9" s="650"/>
      <c r="AQ9" s="650"/>
      <c r="AR9" s="650"/>
      <c r="AS9" s="650"/>
      <c r="AT9" s="651"/>
      <c r="AU9" s="257"/>
      <c r="AV9" s="695"/>
      <c r="AW9" s="698"/>
      <c r="AX9" s="703"/>
      <c r="AY9" s="264"/>
      <c r="AZ9" s="657"/>
      <c r="BA9" s="658"/>
      <c r="BB9" s="659"/>
      <c r="BC9" s="663"/>
      <c r="BD9" s="668"/>
      <c r="BE9" s="669"/>
      <c r="BF9" s="670"/>
      <c r="BG9" s="269"/>
      <c r="BH9" s="270" t="s">
        <v>114</v>
      </c>
      <c r="BI9" s="261"/>
      <c r="BJ9" s="271" t="s">
        <v>53</v>
      </c>
      <c r="BK9" s="267"/>
      <c r="BL9" s="268" t="s">
        <v>115</v>
      </c>
      <c r="BM9" s="261"/>
      <c r="BN9" s="706"/>
      <c r="BO9" s="155"/>
      <c r="BQ9" s="640" t="s">
        <v>46</v>
      </c>
      <c r="BR9" s="642" t="s">
        <v>47</v>
      </c>
      <c r="BS9" s="642" t="s">
        <v>48</v>
      </c>
      <c r="BT9" s="642" t="s">
        <v>49</v>
      </c>
      <c r="BU9" s="642" t="s">
        <v>50</v>
      </c>
      <c r="BV9" s="644" t="s">
        <v>51</v>
      </c>
      <c r="BW9" s="157" t="s">
        <v>52</v>
      </c>
      <c r="BX9" s="156"/>
      <c r="BY9" s="156"/>
      <c r="BZ9" s="156"/>
      <c r="CA9" s="156" t="s">
        <v>118</v>
      </c>
      <c r="CB9" s="156"/>
      <c r="CC9" s="156" t="s">
        <v>118</v>
      </c>
      <c r="CD9" s="156"/>
    </row>
    <row r="10" spans="2:82" ht="20.25" customHeight="1" thickBot="1" x14ac:dyDescent="0.25">
      <c r="B10" s="637"/>
      <c r="C10" s="639"/>
      <c r="D10" s="686"/>
      <c r="E10" s="275" t="s">
        <v>96</v>
      </c>
      <c r="F10" s="276" t="s">
        <v>96</v>
      </c>
      <c r="G10" s="277" t="s">
        <v>96</v>
      </c>
      <c r="H10" s="275" t="s">
        <v>97</v>
      </c>
      <c r="I10" s="276" t="s">
        <v>97</v>
      </c>
      <c r="J10" s="278" t="s">
        <v>96</v>
      </c>
      <c r="K10" s="279" t="s">
        <v>96</v>
      </c>
      <c r="L10" s="276" t="s">
        <v>97</v>
      </c>
      <c r="M10" s="276" t="s">
        <v>96</v>
      </c>
      <c r="N10" s="276" t="s">
        <v>96</v>
      </c>
      <c r="O10" s="280" t="s">
        <v>96</v>
      </c>
      <c r="P10" s="281" t="s">
        <v>96</v>
      </c>
      <c r="Q10" s="281" t="s">
        <v>97</v>
      </c>
      <c r="R10" s="281" t="s">
        <v>97</v>
      </c>
      <c r="S10" s="281" t="s">
        <v>96</v>
      </c>
      <c r="T10" s="281" t="s">
        <v>96</v>
      </c>
      <c r="U10" s="281" t="s">
        <v>95</v>
      </c>
      <c r="V10" s="281" t="s">
        <v>95</v>
      </c>
      <c r="W10" s="281" t="s">
        <v>98</v>
      </c>
      <c r="X10" s="282" t="s">
        <v>98</v>
      </c>
      <c r="Y10" s="652"/>
      <c r="Z10" s="652"/>
      <c r="AA10" s="652"/>
      <c r="AB10" s="652"/>
      <c r="AC10" s="652"/>
      <c r="AD10" s="652"/>
      <c r="AE10" s="652"/>
      <c r="AF10" s="652"/>
      <c r="AG10" s="652"/>
      <c r="AH10" s="652"/>
      <c r="AI10" s="652"/>
      <c r="AJ10" s="652"/>
      <c r="AK10" s="652"/>
      <c r="AL10" s="652"/>
      <c r="AM10" s="652"/>
      <c r="AN10" s="652"/>
      <c r="AO10" s="652"/>
      <c r="AP10" s="652"/>
      <c r="AQ10" s="652"/>
      <c r="AR10" s="652"/>
      <c r="AS10" s="652"/>
      <c r="AT10" s="653"/>
      <c r="AU10" s="283"/>
      <c r="AV10" s="696"/>
      <c r="AW10" s="699"/>
      <c r="AX10" s="704"/>
      <c r="AY10" s="264"/>
      <c r="AZ10" s="660"/>
      <c r="BA10" s="661"/>
      <c r="BB10" s="662"/>
      <c r="BC10" s="664"/>
      <c r="BD10" s="671"/>
      <c r="BE10" s="672"/>
      <c r="BF10" s="673"/>
      <c r="BG10" s="269"/>
      <c r="BH10" s="284" t="s">
        <v>116</v>
      </c>
      <c r="BI10" s="261"/>
      <c r="BJ10" s="285" t="s">
        <v>54</v>
      </c>
      <c r="BK10" s="267"/>
      <c r="BL10" s="286" t="s">
        <v>117</v>
      </c>
      <c r="BM10" s="261"/>
      <c r="BN10" s="707"/>
      <c r="BO10" s="155"/>
      <c r="BQ10" s="641"/>
      <c r="BR10" s="643"/>
      <c r="BS10" s="643"/>
      <c r="BT10" s="643"/>
      <c r="BU10" s="643"/>
      <c r="BV10" s="645"/>
      <c r="BW10" s="159"/>
      <c r="BX10" s="158"/>
      <c r="BY10" s="158"/>
      <c r="BZ10" s="158"/>
      <c r="CA10" s="158" t="s">
        <v>107</v>
      </c>
      <c r="CB10" s="158"/>
      <c r="CC10" s="158" t="s">
        <v>107</v>
      </c>
      <c r="CD10" s="158"/>
    </row>
    <row r="11" spans="2:82" s="227" customFormat="1" ht="27.75" customHeight="1" x14ac:dyDescent="0.2">
      <c r="B11" s="174"/>
      <c r="C11" s="174"/>
      <c r="D11" s="216">
        <f t="shared" ref="D11:D41" si="0">C11-B11</f>
        <v>0</v>
      </c>
      <c r="E11" s="217">
        <v>4</v>
      </c>
      <c r="F11" s="217">
        <v>1</v>
      </c>
      <c r="G11" s="217">
        <v>1</v>
      </c>
      <c r="H11" s="217">
        <v>3</v>
      </c>
      <c r="I11" s="217">
        <v>3</v>
      </c>
      <c r="J11" s="217">
        <v>3</v>
      </c>
      <c r="K11" s="217">
        <v>1</v>
      </c>
      <c r="L11" s="217">
        <v>1</v>
      </c>
      <c r="M11" s="217">
        <v>3</v>
      </c>
      <c r="N11" s="217">
        <v>2</v>
      </c>
      <c r="O11" s="217">
        <v>3</v>
      </c>
      <c r="P11" s="217">
        <v>3</v>
      </c>
      <c r="Q11" s="217">
        <v>4</v>
      </c>
      <c r="R11" s="217">
        <v>4</v>
      </c>
      <c r="S11" s="217">
        <v>1</v>
      </c>
      <c r="T11" s="217">
        <v>1</v>
      </c>
      <c r="U11" s="217">
        <v>1</v>
      </c>
      <c r="V11" s="217">
        <v>1</v>
      </c>
      <c r="W11" s="217">
        <v>1</v>
      </c>
      <c r="X11" s="217">
        <v>1</v>
      </c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9"/>
      <c r="AU11" s="220"/>
      <c r="AV11" s="221">
        <f>'Form RCI (3)'!R31</f>
        <v>2.3333333333333335</v>
      </c>
      <c r="AW11" s="219"/>
      <c r="AX11" s="222" t="str">
        <f t="shared" ref="AX11:AX41" si="1">IF(OR((SUM(Y11:AT11)+AW11)&gt;0,D11&lt;=0),"ERROR","OK")</f>
        <v>ERROR</v>
      </c>
      <c r="AY11" s="223"/>
      <c r="AZ11" s="624" t="s">
        <v>171</v>
      </c>
      <c r="BA11" s="624"/>
      <c r="BB11" s="624"/>
      <c r="BC11" s="624"/>
      <c r="BD11" s="624"/>
      <c r="BE11" s="624"/>
      <c r="BF11" s="624"/>
      <c r="BG11" s="169"/>
      <c r="BH11" s="170" t="str">
        <f t="shared" ref="BH11:BH41" si="2">IF(BJ11="B","BAIK",IF(BJ11="S","SEDANG",IF(BJ11="RR","RUSAK RINGAN",IF(BJ11="RB","RUSAK BERAT","DATA SALAH"))))</f>
        <v>RUSAK BERAT</v>
      </c>
      <c r="BI11" s="224"/>
      <c r="BJ11" s="170" t="str">
        <f t="shared" ref="BJ11:BJ41" si="3">IF(AV11&lt;3,"RB",IF(AV11&lt;4,"RR",IF(AV11&lt;5,"S","B")))</f>
        <v>RB</v>
      </c>
      <c r="BK11" s="224"/>
      <c r="BL11" s="225" t="s">
        <v>169</v>
      </c>
      <c r="BM11" s="224"/>
      <c r="BN11" s="225">
        <f t="shared" ref="BN11:BN41" si="4">BX11</f>
        <v>3.3</v>
      </c>
      <c r="BO11" s="226"/>
      <c r="BQ11" s="228">
        <f t="shared" ref="BQ11:BQ41" si="5">IF(BJ11="B",D11,0)</f>
        <v>0</v>
      </c>
      <c r="BR11" s="228">
        <f t="shared" ref="BR11:BR41" si="6">IF(BJ11="S",D11,0)</f>
        <v>0</v>
      </c>
      <c r="BS11" s="228">
        <f t="shared" ref="BS11:BS41" si="7">IF(BJ11="RR",D11,0)</f>
        <v>0</v>
      </c>
      <c r="BT11" s="228">
        <f t="shared" ref="BT11:BT41" si="8">IF(BJ11="RB",D11,0)</f>
        <v>0</v>
      </c>
      <c r="BU11" s="229">
        <f t="shared" ref="BU11:BU41" si="9">BQ11+BR11</f>
        <v>0</v>
      </c>
      <c r="BV11" s="230">
        <f t="shared" ref="BV11:BV41" si="10">BS11+BT11</f>
        <v>0</v>
      </c>
      <c r="BW11" s="231" t="str">
        <f t="shared" ref="BW11:BW41" si="11">IF(AND((BQ11+BR11)&gt;0,(BS11+BT11)=0),"Pemeliharaan Rutin",IF(AND((BQ11+BR11+BT11)=0,BS11&gt;0),"Pemeliharaan Berkala", IF(AND((BQ11+BR11+BS11)=0,BT11&gt;0),"Peningkatan/Rekonstruksi","")))</f>
        <v/>
      </c>
      <c r="BX11" s="195">
        <v>3.3</v>
      </c>
      <c r="BY11" s="195">
        <v>0.3</v>
      </c>
      <c r="BZ11" s="195">
        <v>0.42</v>
      </c>
      <c r="CA11" s="195" t="s">
        <v>168</v>
      </c>
      <c r="CB11" s="195" t="s">
        <v>168</v>
      </c>
      <c r="CC11" s="195" t="s">
        <v>168</v>
      </c>
      <c r="CD11" s="195" t="s">
        <v>168</v>
      </c>
    </row>
    <row r="12" spans="2:82" s="227" customFormat="1" ht="27.75" customHeight="1" x14ac:dyDescent="0.2">
      <c r="B12" s="174"/>
      <c r="C12" s="174"/>
      <c r="D12" s="216">
        <f t="shared" si="0"/>
        <v>0</v>
      </c>
      <c r="E12" s="217">
        <v>4</v>
      </c>
      <c r="F12" s="217">
        <v>1</v>
      </c>
      <c r="G12" s="217">
        <v>1</v>
      </c>
      <c r="H12" s="217">
        <v>3</v>
      </c>
      <c r="I12" s="217">
        <v>3</v>
      </c>
      <c r="J12" s="217">
        <v>3</v>
      </c>
      <c r="K12" s="217">
        <v>1</v>
      </c>
      <c r="L12" s="217">
        <v>1</v>
      </c>
      <c r="M12" s="217">
        <v>3</v>
      </c>
      <c r="N12" s="217">
        <v>2</v>
      </c>
      <c r="O12" s="217">
        <v>3</v>
      </c>
      <c r="P12" s="217">
        <v>3</v>
      </c>
      <c r="Q12" s="217">
        <v>4</v>
      </c>
      <c r="R12" s="217">
        <v>4</v>
      </c>
      <c r="S12" s="217">
        <v>1</v>
      </c>
      <c r="T12" s="217">
        <v>1</v>
      </c>
      <c r="U12" s="217">
        <v>1</v>
      </c>
      <c r="V12" s="217">
        <v>1</v>
      </c>
      <c r="W12" s="217">
        <v>1</v>
      </c>
      <c r="X12" s="217">
        <v>1</v>
      </c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9"/>
      <c r="AU12" s="220"/>
      <c r="AV12" s="221">
        <f>'Form RCI (3)'!R32</f>
        <v>2.3333333333333335</v>
      </c>
      <c r="AW12" s="219"/>
      <c r="AX12" s="222" t="str">
        <f t="shared" si="1"/>
        <v>ERROR</v>
      </c>
      <c r="AY12" s="223"/>
      <c r="AZ12" s="624" t="s">
        <v>171</v>
      </c>
      <c r="BA12" s="624"/>
      <c r="BB12" s="624"/>
      <c r="BC12" s="624"/>
      <c r="BD12" s="624"/>
      <c r="BE12" s="624"/>
      <c r="BF12" s="624"/>
      <c r="BG12" s="169"/>
      <c r="BH12" s="170" t="str">
        <f t="shared" si="2"/>
        <v>RUSAK BERAT</v>
      </c>
      <c r="BI12" s="224"/>
      <c r="BJ12" s="170" t="str">
        <f t="shared" si="3"/>
        <v>RB</v>
      </c>
      <c r="BK12" s="224"/>
      <c r="BL12" s="225" t="s">
        <v>169</v>
      </c>
      <c r="BM12" s="224"/>
      <c r="BN12" s="225">
        <f t="shared" si="4"/>
        <v>3.3</v>
      </c>
      <c r="BO12" s="226"/>
      <c r="BQ12" s="228">
        <f t="shared" si="5"/>
        <v>0</v>
      </c>
      <c r="BR12" s="228">
        <f t="shared" si="6"/>
        <v>0</v>
      </c>
      <c r="BS12" s="228">
        <f t="shared" si="7"/>
        <v>0</v>
      </c>
      <c r="BT12" s="228">
        <f t="shared" si="8"/>
        <v>0</v>
      </c>
      <c r="BU12" s="229">
        <f t="shared" si="9"/>
        <v>0</v>
      </c>
      <c r="BV12" s="230">
        <f t="shared" si="10"/>
        <v>0</v>
      </c>
      <c r="BW12" s="231" t="str">
        <f t="shared" si="11"/>
        <v/>
      </c>
      <c r="BX12" s="195">
        <v>3.3</v>
      </c>
      <c r="BY12" s="195">
        <v>0.3</v>
      </c>
      <c r="BZ12" s="195">
        <v>0.42</v>
      </c>
      <c r="CA12" s="195" t="s">
        <v>168</v>
      </c>
      <c r="CB12" s="195" t="s">
        <v>168</v>
      </c>
      <c r="CC12" s="195" t="s">
        <v>168</v>
      </c>
      <c r="CD12" s="195" t="s">
        <v>168</v>
      </c>
    </row>
    <row r="13" spans="2:82" s="227" customFormat="1" ht="27.75" customHeight="1" x14ac:dyDescent="0.2">
      <c r="B13" s="174"/>
      <c r="C13" s="174"/>
      <c r="D13" s="216">
        <f t="shared" si="0"/>
        <v>0</v>
      </c>
      <c r="E13" s="217">
        <v>4</v>
      </c>
      <c r="F13" s="217">
        <v>1</v>
      </c>
      <c r="G13" s="217">
        <v>1</v>
      </c>
      <c r="H13" s="217">
        <v>3</v>
      </c>
      <c r="I13" s="217">
        <v>3</v>
      </c>
      <c r="J13" s="217">
        <v>3</v>
      </c>
      <c r="K13" s="217">
        <v>1</v>
      </c>
      <c r="L13" s="217">
        <v>1</v>
      </c>
      <c r="M13" s="217">
        <v>3</v>
      </c>
      <c r="N13" s="217">
        <v>2</v>
      </c>
      <c r="O13" s="217">
        <v>3</v>
      </c>
      <c r="P13" s="217">
        <v>3</v>
      </c>
      <c r="Q13" s="217">
        <v>4</v>
      </c>
      <c r="R13" s="217">
        <v>4</v>
      </c>
      <c r="S13" s="217">
        <v>1</v>
      </c>
      <c r="T13" s="217">
        <v>1</v>
      </c>
      <c r="U13" s="217">
        <v>1</v>
      </c>
      <c r="V13" s="217">
        <v>1</v>
      </c>
      <c r="W13" s="217">
        <v>1</v>
      </c>
      <c r="X13" s="217">
        <v>1</v>
      </c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9"/>
      <c r="AU13" s="220"/>
      <c r="AV13" s="221">
        <f>'Form RCI (3)'!R33</f>
        <v>2.3333333333333335</v>
      </c>
      <c r="AW13" s="219"/>
      <c r="AX13" s="222" t="str">
        <f t="shared" si="1"/>
        <v>ERROR</v>
      </c>
      <c r="AY13" s="223"/>
      <c r="AZ13" s="624" t="s">
        <v>171</v>
      </c>
      <c r="BA13" s="624"/>
      <c r="BB13" s="624"/>
      <c r="BC13" s="624"/>
      <c r="BD13" s="624"/>
      <c r="BE13" s="624"/>
      <c r="BF13" s="624"/>
      <c r="BG13" s="169"/>
      <c r="BH13" s="170" t="str">
        <f t="shared" si="2"/>
        <v>RUSAK BERAT</v>
      </c>
      <c r="BI13" s="224"/>
      <c r="BJ13" s="170" t="str">
        <f t="shared" si="3"/>
        <v>RB</v>
      </c>
      <c r="BK13" s="224"/>
      <c r="BL13" s="225" t="s">
        <v>169</v>
      </c>
      <c r="BM13" s="224"/>
      <c r="BN13" s="225">
        <f t="shared" si="4"/>
        <v>3.3</v>
      </c>
      <c r="BO13" s="226"/>
      <c r="BQ13" s="228">
        <f t="shared" si="5"/>
        <v>0</v>
      </c>
      <c r="BR13" s="228">
        <f t="shared" si="6"/>
        <v>0</v>
      </c>
      <c r="BS13" s="228">
        <f t="shared" si="7"/>
        <v>0</v>
      </c>
      <c r="BT13" s="228">
        <f t="shared" si="8"/>
        <v>0</v>
      </c>
      <c r="BU13" s="229">
        <f t="shared" si="9"/>
        <v>0</v>
      </c>
      <c r="BV13" s="230">
        <f t="shared" si="10"/>
        <v>0</v>
      </c>
      <c r="BW13" s="231" t="str">
        <f t="shared" si="11"/>
        <v/>
      </c>
      <c r="BX13" s="195">
        <v>3.3</v>
      </c>
      <c r="BY13" s="195">
        <v>0.3</v>
      </c>
      <c r="BZ13" s="195">
        <v>0.42</v>
      </c>
      <c r="CA13" s="195" t="s">
        <v>168</v>
      </c>
      <c r="CB13" s="195" t="s">
        <v>168</v>
      </c>
      <c r="CC13" s="195" t="s">
        <v>168</v>
      </c>
      <c r="CD13" s="195" t="s">
        <v>168</v>
      </c>
    </row>
    <row r="14" spans="2:82" s="227" customFormat="1" ht="27.75" customHeight="1" x14ac:dyDescent="0.2">
      <c r="B14" s="174"/>
      <c r="C14" s="174"/>
      <c r="D14" s="216">
        <f t="shared" si="0"/>
        <v>0</v>
      </c>
      <c r="E14" s="217">
        <v>4</v>
      </c>
      <c r="F14" s="217">
        <v>1</v>
      </c>
      <c r="G14" s="217">
        <v>1</v>
      </c>
      <c r="H14" s="217">
        <v>3</v>
      </c>
      <c r="I14" s="217">
        <v>3</v>
      </c>
      <c r="J14" s="217">
        <v>3</v>
      </c>
      <c r="K14" s="217">
        <v>1</v>
      </c>
      <c r="L14" s="217">
        <v>1</v>
      </c>
      <c r="M14" s="217">
        <v>3</v>
      </c>
      <c r="N14" s="217">
        <v>2</v>
      </c>
      <c r="O14" s="217">
        <v>3</v>
      </c>
      <c r="P14" s="217">
        <v>3</v>
      </c>
      <c r="Q14" s="217">
        <v>4</v>
      </c>
      <c r="R14" s="217">
        <v>4</v>
      </c>
      <c r="S14" s="217">
        <v>1</v>
      </c>
      <c r="T14" s="217">
        <v>1</v>
      </c>
      <c r="U14" s="217">
        <v>1</v>
      </c>
      <c r="V14" s="217">
        <v>1</v>
      </c>
      <c r="W14" s="217">
        <v>1</v>
      </c>
      <c r="X14" s="217">
        <v>1</v>
      </c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9"/>
      <c r="AU14" s="220"/>
      <c r="AV14" s="221">
        <f>'Form RCI (3)'!R34</f>
        <v>2.6666666666666665</v>
      </c>
      <c r="AW14" s="219"/>
      <c r="AX14" s="222" t="str">
        <f t="shared" si="1"/>
        <v>ERROR</v>
      </c>
      <c r="AY14" s="223"/>
      <c r="AZ14" s="624" t="s">
        <v>171</v>
      </c>
      <c r="BA14" s="624"/>
      <c r="BB14" s="624"/>
      <c r="BC14" s="624"/>
      <c r="BD14" s="624"/>
      <c r="BE14" s="624"/>
      <c r="BF14" s="624"/>
      <c r="BG14" s="169"/>
      <c r="BH14" s="170" t="str">
        <f t="shared" si="2"/>
        <v>RUSAK BERAT</v>
      </c>
      <c r="BI14" s="224"/>
      <c r="BJ14" s="170" t="str">
        <f t="shared" si="3"/>
        <v>RB</v>
      </c>
      <c r="BK14" s="224"/>
      <c r="BL14" s="225" t="s">
        <v>169</v>
      </c>
      <c r="BM14" s="224"/>
      <c r="BN14" s="225">
        <f t="shared" si="4"/>
        <v>3.3</v>
      </c>
      <c r="BO14" s="226"/>
      <c r="BQ14" s="228">
        <f t="shared" si="5"/>
        <v>0</v>
      </c>
      <c r="BR14" s="228">
        <f t="shared" si="6"/>
        <v>0</v>
      </c>
      <c r="BS14" s="228">
        <f t="shared" si="7"/>
        <v>0</v>
      </c>
      <c r="BT14" s="228">
        <f t="shared" si="8"/>
        <v>0</v>
      </c>
      <c r="BU14" s="229">
        <f t="shared" si="9"/>
        <v>0</v>
      </c>
      <c r="BV14" s="230">
        <f t="shared" si="10"/>
        <v>0</v>
      </c>
      <c r="BW14" s="231" t="str">
        <f t="shared" si="11"/>
        <v/>
      </c>
      <c r="BX14" s="195">
        <v>3.3</v>
      </c>
      <c r="BY14" s="195">
        <v>0.3</v>
      </c>
      <c r="BZ14" s="195">
        <v>0.42</v>
      </c>
      <c r="CA14" s="195" t="s">
        <v>168</v>
      </c>
      <c r="CB14" s="195" t="s">
        <v>168</v>
      </c>
      <c r="CC14" s="195" t="s">
        <v>168</v>
      </c>
      <c r="CD14" s="195" t="s">
        <v>168</v>
      </c>
    </row>
    <row r="15" spans="2:82" s="227" customFormat="1" ht="27.75" customHeight="1" x14ac:dyDescent="0.2">
      <c r="B15" s="174"/>
      <c r="C15" s="174"/>
      <c r="D15" s="216">
        <f t="shared" si="0"/>
        <v>0</v>
      </c>
      <c r="E15" s="217">
        <v>4</v>
      </c>
      <c r="F15" s="217">
        <v>1</v>
      </c>
      <c r="G15" s="217">
        <v>1</v>
      </c>
      <c r="H15" s="217">
        <v>3</v>
      </c>
      <c r="I15" s="217">
        <v>3</v>
      </c>
      <c r="J15" s="217">
        <v>3</v>
      </c>
      <c r="K15" s="217">
        <v>1</v>
      </c>
      <c r="L15" s="217">
        <v>1</v>
      </c>
      <c r="M15" s="217">
        <v>3</v>
      </c>
      <c r="N15" s="217">
        <v>2</v>
      </c>
      <c r="O15" s="217">
        <v>3</v>
      </c>
      <c r="P15" s="217">
        <v>3</v>
      </c>
      <c r="Q15" s="217">
        <v>4</v>
      </c>
      <c r="R15" s="217">
        <v>4</v>
      </c>
      <c r="S15" s="217">
        <v>1</v>
      </c>
      <c r="T15" s="217">
        <v>1</v>
      </c>
      <c r="U15" s="217">
        <v>1</v>
      </c>
      <c r="V15" s="217">
        <v>1</v>
      </c>
      <c r="W15" s="217">
        <v>1</v>
      </c>
      <c r="X15" s="217">
        <v>1</v>
      </c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9"/>
      <c r="AU15" s="220"/>
      <c r="AV15" s="221">
        <f>'Form RCI (3)'!R35</f>
        <v>2.6666666666666665</v>
      </c>
      <c r="AW15" s="219"/>
      <c r="AX15" s="222" t="str">
        <f t="shared" si="1"/>
        <v>ERROR</v>
      </c>
      <c r="AY15" s="223"/>
      <c r="AZ15" s="624" t="s">
        <v>171</v>
      </c>
      <c r="BA15" s="624"/>
      <c r="BB15" s="624"/>
      <c r="BC15" s="624"/>
      <c r="BD15" s="624"/>
      <c r="BE15" s="624"/>
      <c r="BF15" s="624"/>
      <c r="BG15" s="169"/>
      <c r="BH15" s="170" t="str">
        <f t="shared" si="2"/>
        <v>RUSAK BERAT</v>
      </c>
      <c r="BI15" s="224"/>
      <c r="BJ15" s="170" t="str">
        <f t="shared" si="3"/>
        <v>RB</v>
      </c>
      <c r="BK15" s="224"/>
      <c r="BL15" s="225" t="s">
        <v>169</v>
      </c>
      <c r="BM15" s="224"/>
      <c r="BN15" s="225">
        <f t="shared" si="4"/>
        <v>3.3</v>
      </c>
      <c r="BO15" s="226"/>
      <c r="BQ15" s="228">
        <f t="shared" si="5"/>
        <v>0</v>
      </c>
      <c r="BR15" s="228">
        <f t="shared" si="6"/>
        <v>0</v>
      </c>
      <c r="BS15" s="228">
        <f t="shared" si="7"/>
        <v>0</v>
      </c>
      <c r="BT15" s="228">
        <f t="shared" si="8"/>
        <v>0</v>
      </c>
      <c r="BU15" s="229">
        <f t="shared" si="9"/>
        <v>0</v>
      </c>
      <c r="BV15" s="230">
        <f t="shared" si="10"/>
        <v>0</v>
      </c>
      <c r="BW15" s="231" t="str">
        <f t="shared" si="11"/>
        <v/>
      </c>
      <c r="BX15" s="195">
        <v>3.3</v>
      </c>
      <c r="BY15" s="195">
        <v>0.3</v>
      </c>
      <c r="BZ15" s="195">
        <v>0.42</v>
      </c>
      <c r="CA15" s="195" t="s">
        <v>168</v>
      </c>
      <c r="CB15" s="195" t="s">
        <v>168</v>
      </c>
      <c r="CC15" s="195" t="s">
        <v>168</v>
      </c>
      <c r="CD15" s="195" t="s">
        <v>168</v>
      </c>
    </row>
    <row r="16" spans="2:82" s="227" customFormat="1" ht="27.75" customHeight="1" x14ac:dyDescent="0.2">
      <c r="B16" s="174"/>
      <c r="C16" s="174"/>
      <c r="D16" s="216">
        <f t="shared" si="0"/>
        <v>0</v>
      </c>
      <c r="E16" s="217">
        <v>4</v>
      </c>
      <c r="F16" s="217">
        <v>1</v>
      </c>
      <c r="G16" s="217">
        <v>1</v>
      </c>
      <c r="H16" s="217">
        <v>3</v>
      </c>
      <c r="I16" s="217">
        <v>3</v>
      </c>
      <c r="J16" s="217">
        <v>3</v>
      </c>
      <c r="K16" s="217">
        <v>1</v>
      </c>
      <c r="L16" s="217">
        <v>1</v>
      </c>
      <c r="M16" s="217">
        <v>3</v>
      </c>
      <c r="N16" s="217">
        <v>2</v>
      </c>
      <c r="O16" s="217">
        <v>3</v>
      </c>
      <c r="P16" s="217">
        <v>3</v>
      </c>
      <c r="Q16" s="217">
        <v>4</v>
      </c>
      <c r="R16" s="217">
        <v>4</v>
      </c>
      <c r="S16" s="217">
        <v>1</v>
      </c>
      <c r="T16" s="217">
        <v>1</v>
      </c>
      <c r="U16" s="217">
        <v>1</v>
      </c>
      <c r="V16" s="217">
        <v>1</v>
      </c>
      <c r="W16" s="217">
        <v>1</v>
      </c>
      <c r="X16" s="217">
        <v>1</v>
      </c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9"/>
      <c r="AU16" s="220"/>
      <c r="AV16" s="221">
        <f>'Form RCI (3)'!R36</f>
        <v>2.6666666666666665</v>
      </c>
      <c r="AW16" s="219"/>
      <c r="AX16" s="222" t="str">
        <f t="shared" si="1"/>
        <v>ERROR</v>
      </c>
      <c r="AY16" s="223"/>
      <c r="AZ16" s="624" t="s">
        <v>171</v>
      </c>
      <c r="BA16" s="624"/>
      <c r="BB16" s="624"/>
      <c r="BC16" s="624"/>
      <c r="BD16" s="624"/>
      <c r="BE16" s="624"/>
      <c r="BF16" s="624"/>
      <c r="BG16" s="169"/>
      <c r="BH16" s="170" t="str">
        <f t="shared" si="2"/>
        <v>RUSAK BERAT</v>
      </c>
      <c r="BI16" s="224"/>
      <c r="BJ16" s="170" t="str">
        <f t="shared" si="3"/>
        <v>RB</v>
      </c>
      <c r="BK16" s="224"/>
      <c r="BL16" s="225" t="s">
        <v>169</v>
      </c>
      <c r="BM16" s="224"/>
      <c r="BN16" s="225">
        <f t="shared" si="4"/>
        <v>3.3</v>
      </c>
      <c r="BO16" s="226"/>
      <c r="BQ16" s="228">
        <f t="shared" si="5"/>
        <v>0</v>
      </c>
      <c r="BR16" s="228">
        <f t="shared" si="6"/>
        <v>0</v>
      </c>
      <c r="BS16" s="228">
        <f t="shared" si="7"/>
        <v>0</v>
      </c>
      <c r="BT16" s="228">
        <f t="shared" si="8"/>
        <v>0</v>
      </c>
      <c r="BU16" s="229">
        <f t="shared" si="9"/>
        <v>0</v>
      </c>
      <c r="BV16" s="230">
        <f t="shared" si="10"/>
        <v>0</v>
      </c>
      <c r="BW16" s="231" t="str">
        <f t="shared" si="11"/>
        <v/>
      </c>
      <c r="BX16" s="195">
        <v>3.3</v>
      </c>
      <c r="BY16" s="195">
        <v>0.3</v>
      </c>
      <c r="BZ16" s="195">
        <v>0.42</v>
      </c>
      <c r="CA16" s="195" t="s">
        <v>168</v>
      </c>
      <c r="CB16" s="195" t="s">
        <v>168</v>
      </c>
      <c r="CC16" s="195" t="s">
        <v>168</v>
      </c>
      <c r="CD16" s="195" t="s">
        <v>168</v>
      </c>
    </row>
    <row r="17" spans="2:82" s="227" customFormat="1" ht="27.75" customHeight="1" x14ac:dyDescent="0.2">
      <c r="B17" s="174"/>
      <c r="C17" s="174"/>
      <c r="D17" s="216">
        <f t="shared" si="0"/>
        <v>0</v>
      </c>
      <c r="E17" s="217">
        <v>4</v>
      </c>
      <c r="F17" s="217">
        <v>1</v>
      </c>
      <c r="G17" s="217">
        <v>1</v>
      </c>
      <c r="H17" s="217">
        <v>3</v>
      </c>
      <c r="I17" s="217">
        <v>3</v>
      </c>
      <c r="J17" s="217">
        <v>3</v>
      </c>
      <c r="K17" s="217">
        <v>1</v>
      </c>
      <c r="L17" s="217">
        <v>1</v>
      </c>
      <c r="M17" s="217">
        <v>3</v>
      </c>
      <c r="N17" s="217">
        <v>2</v>
      </c>
      <c r="O17" s="217">
        <v>3</v>
      </c>
      <c r="P17" s="217">
        <v>3</v>
      </c>
      <c r="Q17" s="217">
        <v>4</v>
      </c>
      <c r="R17" s="217">
        <v>4</v>
      </c>
      <c r="S17" s="217">
        <v>1</v>
      </c>
      <c r="T17" s="217">
        <v>1</v>
      </c>
      <c r="U17" s="217">
        <v>1</v>
      </c>
      <c r="V17" s="217">
        <v>1</v>
      </c>
      <c r="W17" s="217">
        <v>1</v>
      </c>
      <c r="X17" s="217">
        <v>1</v>
      </c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9"/>
      <c r="AU17" s="220"/>
      <c r="AV17" s="221">
        <f>'Form RCI (3)'!R37</f>
        <v>2.6666666666666665</v>
      </c>
      <c r="AW17" s="219"/>
      <c r="AX17" s="222" t="str">
        <f t="shared" si="1"/>
        <v>ERROR</v>
      </c>
      <c r="AY17" s="223"/>
      <c r="AZ17" s="624" t="s">
        <v>171</v>
      </c>
      <c r="BA17" s="624"/>
      <c r="BB17" s="624"/>
      <c r="BC17" s="624"/>
      <c r="BD17" s="624"/>
      <c r="BE17" s="624"/>
      <c r="BF17" s="624"/>
      <c r="BG17" s="169"/>
      <c r="BH17" s="170" t="str">
        <f t="shared" si="2"/>
        <v>RUSAK BERAT</v>
      </c>
      <c r="BI17" s="224"/>
      <c r="BJ17" s="170" t="str">
        <f t="shared" si="3"/>
        <v>RB</v>
      </c>
      <c r="BK17" s="224"/>
      <c r="BL17" s="225" t="s">
        <v>169</v>
      </c>
      <c r="BM17" s="224"/>
      <c r="BN17" s="225">
        <f t="shared" si="4"/>
        <v>3.3</v>
      </c>
      <c r="BO17" s="226"/>
      <c r="BQ17" s="228">
        <f t="shared" si="5"/>
        <v>0</v>
      </c>
      <c r="BR17" s="228">
        <f t="shared" si="6"/>
        <v>0</v>
      </c>
      <c r="BS17" s="228">
        <f t="shared" si="7"/>
        <v>0</v>
      </c>
      <c r="BT17" s="228">
        <f t="shared" si="8"/>
        <v>0</v>
      </c>
      <c r="BU17" s="229">
        <f t="shared" si="9"/>
        <v>0</v>
      </c>
      <c r="BV17" s="230">
        <f t="shared" si="10"/>
        <v>0</v>
      </c>
      <c r="BW17" s="231" t="str">
        <f t="shared" si="11"/>
        <v/>
      </c>
      <c r="BX17" s="195">
        <v>3.3</v>
      </c>
      <c r="BY17" s="195">
        <v>0.3</v>
      </c>
      <c r="BZ17" s="195">
        <v>0.42</v>
      </c>
      <c r="CA17" s="195" t="s">
        <v>168</v>
      </c>
      <c r="CB17" s="195" t="s">
        <v>168</v>
      </c>
      <c r="CC17" s="195" t="s">
        <v>168</v>
      </c>
      <c r="CD17" s="195" t="s">
        <v>168</v>
      </c>
    </row>
    <row r="18" spans="2:82" s="227" customFormat="1" ht="27.75" customHeight="1" x14ac:dyDescent="0.2">
      <c r="B18" s="174"/>
      <c r="C18" s="174"/>
      <c r="D18" s="216">
        <f t="shared" si="0"/>
        <v>0</v>
      </c>
      <c r="E18" s="217">
        <v>4</v>
      </c>
      <c r="F18" s="217">
        <v>1</v>
      </c>
      <c r="G18" s="217">
        <v>1</v>
      </c>
      <c r="H18" s="217">
        <v>3</v>
      </c>
      <c r="I18" s="217">
        <v>3</v>
      </c>
      <c r="J18" s="217">
        <v>3</v>
      </c>
      <c r="K18" s="217">
        <v>1</v>
      </c>
      <c r="L18" s="217">
        <v>1</v>
      </c>
      <c r="M18" s="217">
        <v>3</v>
      </c>
      <c r="N18" s="217">
        <v>2</v>
      </c>
      <c r="O18" s="217">
        <v>3</v>
      </c>
      <c r="P18" s="217">
        <v>3</v>
      </c>
      <c r="Q18" s="217">
        <v>4</v>
      </c>
      <c r="R18" s="217">
        <v>4</v>
      </c>
      <c r="S18" s="217">
        <v>1</v>
      </c>
      <c r="T18" s="217">
        <v>1</v>
      </c>
      <c r="U18" s="217">
        <v>1</v>
      </c>
      <c r="V18" s="217">
        <v>1</v>
      </c>
      <c r="W18" s="217">
        <v>1</v>
      </c>
      <c r="X18" s="217">
        <v>1</v>
      </c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9"/>
      <c r="AU18" s="220"/>
      <c r="AV18" s="221">
        <f>'Form RCI (3)'!R38</f>
        <v>2.6666666666666665</v>
      </c>
      <c r="AW18" s="219"/>
      <c r="AX18" s="222" t="str">
        <f t="shared" si="1"/>
        <v>ERROR</v>
      </c>
      <c r="AY18" s="223"/>
      <c r="AZ18" s="624" t="s">
        <v>171</v>
      </c>
      <c r="BA18" s="624"/>
      <c r="BB18" s="624"/>
      <c r="BC18" s="624"/>
      <c r="BD18" s="624"/>
      <c r="BE18" s="624"/>
      <c r="BF18" s="624"/>
      <c r="BG18" s="169"/>
      <c r="BH18" s="170" t="str">
        <f t="shared" si="2"/>
        <v>RUSAK BERAT</v>
      </c>
      <c r="BI18" s="224"/>
      <c r="BJ18" s="170" t="str">
        <f t="shared" si="3"/>
        <v>RB</v>
      </c>
      <c r="BK18" s="224"/>
      <c r="BL18" s="225" t="s">
        <v>169</v>
      </c>
      <c r="BM18" s="224"/>
      <c r="BN18" s="225">
        <f t="shared" si="4"/>
        <v>3.3</v>
      </c>
      <c r="BO18" s="226"/>
      <c r="BQ18" s="228">
        <f t="shared" si="5"/>
        <v>0</v>
      </c>
      <c r="BR18" s="228">
        <f t="shared" si="6"/>
        <v>0</v>
      </c>
      <c r="BS18" s="228">
        <f t="shared" si="7"/>
        <v>0</v>
      </c>
      <c r="BT18" s="228">
        <f t="shared" si="8"/>
        <v>0</v>
      </c>
      <c r="BU18" s="229">
        <f t="shared" si="9"/>
        <v>0</v>
      </c>
      <c r="BV18" s="230">
        <f t="shared" si="10"/>
        <v>0</v>
      </c>
      <c r="BW18" s="231" t="str">
        <f t="shared" si="11"/>
        <v/>
      </c>
      <c r="BX18" s="195">
        <v>3.3</v>
      </c>
      <c r="BY18" s="195">
        <v>0.3</v>
      </c>
      <c r="BZ18" s="195">
        <v>0.42</v>
      </c>
      <c r="CA18" s="195" t="s">
        <v>168</v>
      </c>
      <c r="CB18" s="195" t="s">
        <v>168</v>
      </c>
      <c r="CC18" s="195" t="s">
        <v>168</v>
      </c>
      <c r="CD18" s="195" t="s">
        <v>168</v>
      </c>
    </row>
    <row r="19" spans="2:82" s="227" customFormat="1" ht="27.75" customHeight="1" x14ac:dyDescent="0.2">
      <c r="B19" s="174"/>
      <c r="C19" s="174"/>
      <c r="D19" s="216">
        <f t="shared" si="0"/>
        <v>0</v>
      </c>
      <c r="E19" s="217">
        <v>4</v>
      </c>
      <c r="F19" s="217">
        <v>1</v>
      </c>
      <c r="G19" s="217">
        <v>1</v>
      </c>
      <c r="H19" s="217">
        <v>3</v>
      </c>
      <c r="I19" s="217">
        <v>3</v>
      </c>
      <c r="J19" s="217">
        <v>3</v>
      </c>
      <c r="K19" s="217">
        <v>1</v>
      </c>
      <c r="L19" s="217">
        <v>1</v>
      </c>
      <c r="M19" s="217">
        <v>3</v>
      </c>
      <c r="N19" s="217">
        <v>2</v>
      </c>
      <c r="O19" s="217">
        <v>3</v>
      </c>
      <c r="P19" s="217">
        <v>3</v>
      </c>
      <c r="Q19" s="217">
        <v>4</v>
      </c>
      <c r="R19" s="217">
        <v>4</v>
      </c>
      <c r="S19" s="217">
        <v>1</v>
      </c>
      <c r="T19" s="217">
        <v>1</v>
      </c>
      <c r="U19" s="217">
        <v>1</v>
      </c>
      <c r="V19" s="217">
        <v>1</v>
      </c>
      <c r="W19" s="217">
        <v>1</v>
      </c>
      <c r="X19" s="217">
        <v>1</v>
      </c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9"/>
      <c r="AU19" s="220"/>
      <c r="AV19" s="221">
        <f>'Form RCI (3)'!R39</f>
        <v>2.6666666666666665</v>
      </c>
      <c r="AW19" s="219"/>
      <c r="AX19" s="222" t="str">
        <f t="shared" si="1"/>
        <v>ERROR</v>
      </c>
      <c r="AY19" s="223"/>
      <c r="AZ19" s="624" t="s">
        <v>171</v>
      </c>
      <c r="BA19" s="624"/>
      <c r="BB19" s="624"/>
      <c r="BC19" s="624"/>
      <c r="BD19" s="624"/>
      <c r="BE19" s="624"/>
      <c r="BF19" s="624"/>
      <c r="BG19" s="169"/>
      <c r="BH19" s="170" t="str">
        <f t="shared" si="2"/>
        <v>RUSAK BERAT</v>
      </c>
      <c r="BI19" s="224"/>
      <c r="BJ19" s="170" t="str">
        <f t="shared" si="3"/>
        <v>RB</v>
      </c>
      <c r="BK19" s="224"/>
      <c r="BL19" s="225" t="s">
        <v>169</v>
      </c>
      <c r="BM19" s="224"/>
      <c r="BN19" s="225">
        <f t="shared" si="4"/>
        <v>3.3</v>
      </c>
      <c r="BO19" s="226"/>
      <c r="BQ19" s="228">
        <f t="shared" si="5"/>
        <v>0</v>
      </c>
      <c r="BR19" s="228">
        <f t="shared" si="6"/>
        <v>0</v>
      </c>
      <c r="BS19" s="228">
        <f t="shared" si="7"/>
        <v>0</v>
      </c>
      <c r="BT19" s="228">
        <f t="shared" si="8"/>
        <v>0</v>
      </c>
      <c r="BU19" s="229">
        <f t="shared" si="9"/>
        <v>0</v>
      </c>
      <c r="BV19" s="230">
        <f t="shared" si="10"/>
        <v>0</v>
      </c>
      <c r="BW19" s="231" t="str">
        <f t="shared" si="11"/>
        <v/>
      </c>
      <c r="BX19" s="195">
        <v>3.3</v>
      </c>
      <c r="BY19" s="195">
        <v>0.3</v>
      </c>
      <c r="BZ19" s="195">
        <v>0.42</v>
      </c>
      <c r="CA19" s="195" t="s">
        <v>168</v>
      </c>
      <c r="CB19" s="195" t="s">
        <v>168</v>
      </c>
      <c r="CC19" s="195" t="s">
        <v>168</v>
      </c>
      <c r="CD19" s="195" t="s">
        <v>168</v>
      </c>
    </row>
    <row r="20" spans="2:82" s="227" customFormat="1" ht="27.75" customHeight="1" x14ac:dyDescent="0.2">
      <c r="B20" s="174"/>
      <c r="C20" s="174"/>
      <c r="D20" s="216">
        <f t="shared" si="0"/>
        <v>0</v>
      </c>
      <c r="E20" s="217">
        <v>4</v>
      </c>
      <c r="F20" s="217">
        <v>1</v>
      </c>
      <c r="G20" s="217">
        <v>1</v>
      </c>
      <c r="H20" s="217">
        <v>3</v>
      </c>
      <c r="I20" s="217">
        <v>3</v>
      </c>
      <c r="J20" s="217">
        <v>3</v>
      </c>
      <c r="K20" s="217">
        <v>1</v>
      </c>
      <c r="L20" s="217">
        <v>1</v>
      </c>
      <c r="M20" s="217">
        <v>3</v>
      </c>
      <c r="N20" s="217">
        <v>2</v>
      </c>
      <c r="O20" s="217">
        <v>3</v>
      </c>
      <c r="P20" s="217">
        <v>3</v>
      </c>
      <c r="Q20" s="217">
        <v>4</v>
      </c>
      <c r="R20" s="217">
        <v>4</v>
      </c>
      <c r="S20" s="217">
        <v>1</v>
      </c>
      <c r="T20" s="217">
        <v>1</v>
      </c>
      <c r="U20" s="217">
        <v>1</v>
      </c>
      <c r="V20" s="217">
        <v>1</v>
      </c>
      <c r="W20" s="217">
        <v>1</v>
      </c>
      <c r="X20" s="217">
        <v>1</v>
      </c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9"/>
      <c r="AU20" s="220"/>
      <c r="AV20" s="221">
        <f>'Form RCI (3)'!R40</f>
        <v>2.6666666666666665</v>
      </c>
      <c r="AW20" s="219"/>
      <c r="AX20" s="222" t="str">
        <f t="shared" si="1"/>
        <v>ERROR</v>
      </c>
      <c r="AY20" s="223"/>
      <c r="AZ20" s="624" t="s">
        <v>171</v>
      </c>
      <c r="BA20" s="624"/>
      <c r="BB20" s="624"/>
      <c r="BC20" s="624"/>
      <c r="BD20" s="624"/>
      <c r="BE20" s="624"/>
      <c r="BF20" s="624"/>
      <c r="BG20" s="169"/>
      <c r="BH20" s="170" t="str">
        <f t="shared" si="2"/>
        <v>RUSAK BERAT</v>
      </c>
      <c r="BI20" s="224"/>
      <c r="BJ20" s="170" t="str">
        <f t="shared" si="3"/>
        <v>RB</v>
      </c>
      <c r="BK20" s="224"/>
      <c r="BL20" s="225" t="s">
        <v>169</v>
      </c>
      <c r="BM20" s="224"/>
      <c r="BN20" s="225">
        <f t="shared" si="4"/>
        <v>3.3</v>
      </c>
      <c r="BO20" s="226"/>
      <c r="BQ20" s="228">
        <f t="shared" si="5"/>
        <v>0</v>
      </c>
      <c r="BR20" s="228">
        <f t="shared" si="6"/>
        <v>0</v>
      </c>
      <c r="BS20" s="228">
        <f t="shared" si="7"/>
        <v>0</v>
      </c>
      <c r="BT20" s="228">
        <f t="shared" si="8"/>
        <v>0</v>
      </c>
      <c r="BU20" s="229">
        <f t="shared" si="9"/>
        <v>0</v>
      </c>
      <c r="BV20" s="230">
        <f t="shared" si="10"/>
        <v>0</v>
      </c>
      <c r="BW20" s="231" t="str">
        <f t="shared" si="11"/>
        <v/>
      </c>
      <c r="BX20" s="195">
        <v>3.3</v>
      </c>
      <c r="BY20" s="195">
        <v>0.3</v>
      </c>
      <c r="BZ20" s="195">
        <v>0.42</v>
      </c>
      <c r="CA20" s="195" t="s">
        <v>168</v>
      </c>
      <c r="CB20" s="195" t="s">
        <v>168</v>
      </c>
      <c r="CC20" s="195" t="s">
        <v>168</v>
      </c>
      <c r="CD20" s="195" t="s">
        <v>168</v>
      </c>
    </row>
    <row r="21" spans="2:82" s="227" customFormat="1" ht="27.75" customHeight="1" x14ac:dyDescent="0.2">
      <c r="B21" s="174"/>
      <c r="C21" s="174"/>
      <c r="D21" s="216">
        <f t="shared" si="0"/>
        <v>0</v>
      </c>
      <c r="E21" s="217">
        <v>4</v>
      </c>
      <c r="F21" s="217">
        <v>1</v>
      </c>
      <c r="G21" s="217">
        <v>1</v>
      </c>
      <c r="H21" s="217">
        <v>3</v>
      </c>
      <c r="I21" s="217">
        <v>3</v>
      </c>
      <c r="J21" s="217">
        <v>3</v>
      </c>
      <c r="K21" s="217">
        <v>1</v>
      </c>
      <c r="L21" s="217">
        <v>1</v>
      </c>
      <c r="M21" s="217">
        <v>3</v>
      </c>
      <c r="N21" s="217">
        <v>2</v>
      </c>
      <c r="O21" s="217">
        <v>3</v>
      </c>
      <c r="P21" s="217">
        <v>3</v>
      </c>
      <c r="Q21" s="217">
        <v>4</v>
      </c>
      <c r="R21" s="217">
        <v>4</v>
      </c>
      <c r="S21" s="217">
        <v>1</v>
      </c>
      <c r="T21" s="217">
        <v>1</v>
      </c>
      <c r="U21" s="217">
        <v>1</v>
      </c>
      <c r="V21" s="217">
        <v>1</v>
      </c>
      <c r="W21" s="217">
        <v>1</v>
      </c>
      <c r="X21" s="217">
        <v>1</v>
      </c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9"/>
      <c r="AU21" s="220"/>
      <c r="AV21" s="221">
        <f>'Form RCI (3)'!R41</f>
        <v>2.6666666666666665</v>
      </c>
      <c r="AW21" s="219"/>
      <c r="AX21" s="222" t="str">
        <f t="shared" si="1"/>
        <v>ERROR</v>
      </c>
      <c r="AY21" s="223"/>
      <c r="AZ21" s="624" t="s">
        <v>171</v>
      </c>
      <c r="BA21" s="624"/>
      <c r="BB21" s="624"/>
      <c r="BC21" s="624"/>
      <c r="BD21" s="624"/>
      <c r="BE21" s="624"/>
      <c r="BF21" s="624"/>
      <c r="BG21" s="169"/>
      <c r="BH21" s="170" t="str">
        <f t="shared" si="2"/>
        <v>RUSAK BERAT</v>
      </c>
      <c r="BI21" s="224"/>
      <c r="BJ21" s="170" t="str">
        <f t="shared" si="3"/>
        <v>RB</v>
      </c>
      <c r="BK21" s="224"/>
      <c r="BL21" s="225" t="s">
        <v>169</v>
      </c>
      <c r="BM21" s="224"/>
      <c r="BN21" s="225">
        <f t="shared" si="4"/>
        <v>3.3</v>
      </c>
      <c r="BO21" s="226"/>
      <c r="BQ21" s="228">
        <f t="shared" si="5"/>
        <v>0</v>
      </c>
      <c r="BR21" s="228">
        <f t="shared" si="6"/>
        <v>0</v>
      </c>
      <c r="BS21" s="228">
        <f t="shared" si="7"/>
        <v>0</v>
      </c>
      <c r="BT21" s="228">
        <f t="shared" si="8"/>
        <v>0</v>
      </c>
      <c r="BU21" s="229">
        <f t="shared" si="9"/>
        <v>0</v>
      </c>
      <c r="BV21" s="230">
        <f t="shared" si="10"/>
        <v>0</v>
      </c>
      <c r="BW21" s="231" t="str">
        <f t="shared" si="11"/>
        <v/>
      </c>
      <c r="BX21" s="195">
        <v>3.3</v>
      </c>
      <c r="BY21" s="195">
        <v>0.3</v>
      </c>
      <c r="BZ21" s="195">
        <v>0.42</v>
      </c>
      <c r="CA21" s="195" t="s">
        <v>168</v>
      </c>
      <c r="CB21" s="195" t="s">
        <v>168</v>
      </c>
      <c r="CC21" s="195" t="s">
        <v>168</v>
      </c>
      <c r="CD21" s="195" t="s">
        <v>168</v>
      </c>
    </row>
    <row r="22" spans="2:82" s="227" customFormat="1" ht="27.75" customHeight="1" x14ac:dyDescent="0.2">
      <c r="B22" s="174"/>
      <c r="C22" s="174"/>
      <c r="D22" s="216">
        <f t="shared" si="0"/>
        <v>0</v>
      </c>
      <c r="E22" s="217">
        <v>4</v>
      </c>
      <c r="F22" s="217">
        <v>1</v>
      </c>
      <c r="G22" s="217">
        <v>1</v>
      </c>
      <c r="H22" s="217">
        <v>3</v>
      </c>
      <c r="I22" s="217">
        <v>3</v>
      </c>
      <c r="J22" s="217">
        <v>3</v>
      </c>
      <c r="K22" s="217">
        <v>1</v>
      </c>
      <c r="L22" s="217">
        <v>1</v>
      </c>
      <c r="M22" s="217">
        <v>3</v>
      </c>
      <c r="N22" s="217">
        <v>2</v>
      </c>
      <c r="O22" s="217">
        <v>3</v>
      </c>
      <c r="P22" s="217">
        <v>3</v>
      </c>
      <c r="Q22" s="217">
        <v>4</v>
      </c>
      <c r="R22" s="217">
        <v>4</v>
      </c>
      <c r="S22" s="217">
        <v>1</v>
      </c>
      <c r="T22" s="217">
        <v>1</v>
      </c>
      <c r="U22" s="217">
        <v>1</v>
      </c>
      <c r="V22" s="217">
        <v>1</v>
      </c>
      <c r="W22" s="217">
        <v>1</v>
      </c>
      <c r="X22" s="217">
        <v>1</v>
      </c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9"/>
      <c r="AU22" s="220"/>
      <c r="AV22" s="221">
        <f>'Form RCI (3)'!R42</f>
        <v>2.3333333333333335</v>
      </c>
      <c r="AW22" s="219"/>
      <c r="AX22" s="222" t="str">
        <f t="shared" si="1"/>
        <v>ERROR</v>
      </c>
      <c r="AY22" s="223"/>
      <c r="AZ22" s="624" t="s">
        <v>171</v>
      </c>
      <c r="BA22" s="624"/>
      <c r="BB22" s="624"/>
      <c r="BC22" s="624"/>
      <c r="BD22" s="624"/>
      <c r="BE22" s="624"/>
      <c r="BF22" s="624"/>
      <c r="BG22" s="169"/>
      <c r="BH22" s="170" t="str">
        <f t="shared" si="2"/>
        <v>RUSAK BERAT</v>
      </c>
      <c r="BI22" s="224"/>
      <c r="BJ22" s="170" t="str">
        <f t="shared" si="3"/>
        <v>RB</v>
      </c>
      <c r="BK22" s="224"/>
      <c r="BL22" s="225" t="s">
        <v>169</v>
      </c>
      <c r="BM22" s="224"/>
      <c r="BN22" s="225">
        <f t="shared" si="4"/>
        <v>3.3</v>
      </c>
      <c r="BO22" s="226"/>
      <c r="BQ22" s="228">
        <f t="shared" si="5"/>
        <v>0</v>
      </c>
      <c r="BR22" s="228">
        <f t="shared" si="6"/>
        <v>0</v>
      </c>
      <c r="BS22" s="228">
        <f t="shared" si="7"/>
        <v>0</v>
      </c>
      <c r="BT22" s="228">
        <f t="shared" si="8"/>
        <v>0</v>
      </c>
      <c r="BU22" s="229">
        <f t="shared" si="9"/>
        <v>0</v>
      </c>
      <c r="BV22" s="230">
        <f t="shared" si="10"/>
        <v>0</v>
      </c>
      <c r="BW22" s="231" t="str">
        <f t="shared" si="11"/>
        <v/>
      </c>
      <c r="BX22" s="195">
        <v>3.3</v>
      </c>
      <c r="BY22" s="195">
        <v>0.3</v>
      </c>
      <c r="BZ22" s="195">
        <v>0.42</v>
      </c>
      <c r="CA22" s="195" t="s">
        <v>168</v>
      </c>
      <c r="CB22" s="195" t="s">
        <v>168</v>
      </c>
      <c r="CC22" s="195" t="s">
        <v>168</v>
      </c>
      <c r="CD22" s="195" t="s">
        <v>168</v>
      </c>
    </row>
    <row r="23" spans="2:82" s="227" customFormat="1" ht="27.75" customHeight="1" x14ac:dyDescent="0.2">
      <c r="B23" s="174"/>
      <c r="C23" s="174"/>
      <c r="D23" s="216">
        <f t="shared" si="0"/>
        <v>0</v>
      </c>
      <c r="E23" s="217">
        <v>4</v>
      </c>
      <c r="F23" s="217">
        <v>1</v>
      </c>
      <c r="G23" s="217">
        <v>1</v>
      </c>
      <c r="H23" s="217">
        <v>3</v>
      </c>
      <c r="I23" s="217">
        <v>3</v>
      </c>
      <c r="J23" s="217">
        <v>3</v>
      </c>
      <c r="K23" s="217">
        <v>1</v>
      </c>
      <c r="L23" s="217">
        <v>1</v>
      </c>
      <c r="M23" s="217">
        <v>3</v>
      </c>
      <c r="N23" s="217">
        <v>2</v>
      </c>
      <c r="O23" s="217">
        <v>3</v>
      </c>
      <c r="P23" s="217">
        <v>3</v>
      </c>
      <c r="Q23" s="217">
        <v>4</v>
      </c>
      <c r="R23" s="217">
        <v>4</v>
      </c>
      <c r="S23" s="217">
        <v>1</v>
      </c>
      <c r="T23" s="217">
        <v>1</v>
      </c>
      <c r="U23" s="217">
        <v>1</v>
      </c>
      <c r="V23" s="217">
        <v>1</v>
      </c>
      <c r="W23" s="217">
        <v>1</v>
      </c>
      <c r="X23" s="217">
        <v>1</v>
      </c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9"/>
      <c r="AU23" s="220"/>
      <c r="AV23" s="221">
        <f>'Form RCI (3)'!R43</f>
        <v>2.3333333333333335</v>
      </c>
      <c r="AW23" s="219"/>
      <c r="AX23" s="222" t="str">
        <f t="shared" si="1"/>
        <v>ERROR</v>
      </c>
      <c r="AY23" s="223"/>
      <c r="AZ23" s="624" t="s">
        <v>171</v>
      </c>
      <c r="BA23" s="624"/>
      <c r="BB23" s="624"/>
      <c r="BC23" s="624"/>
      <c r="BD23" s="624"/>
      <c r="BE23" s="624"/>
      <c r="BF23" s="624"/>
      <c r="BG23" s="169"/>
      <c r="BH23" s="170" t="str">
        <f t="shared" si="2"/>
        <v>RUSAK BERAT</v>
      </c>
      <c r="BI23" s="224"/>
      <c r="BJ23" s="170" t="str">
        <f t="shared" si="3"/>
        <v>RB</v>
      </c>
      <c r="BK23" s="224"/>
      <c r="BL23" s="225" t="s">
        <v>169</v>
      </c>
      <c r="BM23" s="224"/>
      <c r="BN23" s="225">
        <f t="shared" si="4"/>
        <v>3.3</v>
      </c>
      <c r="BO23" s="226"/>
      <c r="BQ23" s="228">
        <f t="shared" si="5"/>
        <v>0</v>
      </c>
      <c r="BR23" s="228">
        <f t="shared" si="6"/>
        <v>0</v>
      </c>
      <c r="BS23" s="228">
        <f t="shared" si="7"/>
        <v>0</v>
      </c>
      <c r="BT23" s="228">
        <f t="shared" si="8"/>
        <v>0</v>
      </c>
      <c r="BU23" s="229">
        <f t="shared" si="9"/>
        <v>0</v>
      </c>
      <c r="BV23" s="230">
        <f t="shared" si="10"/>
        <v>0</v>
      </c>
      <c r="BW23" s="231" t="str">
        <f t="shared" si="11"/>
        <v/>
      </c>
      <c r="BX23" s="195">
        <v>3.3</v>
      </c>
      <c r="BY23" s="195">
        <v>0.3</v>
      </c>
      <c r="BZ23" s="195">
        <v>0.42</v>
      </c>
      <c r="CA23" s="195" t="s">
        <v>168</v>
      </c>
      <c r="CB23" s="195" t="s">
        <v>168</v>
      </c>
      <c r="CC23" s="195" t="s">
        <v>168</v>
      </c>
      <c r="CD23" s="195" t="s">
        <v>168</v>
      </c>
    </row>
    <row r="24" spans="2:82" s="227" customFormat="1" ht="27.75" customHeight="1" x14ac:dyDescent="0.2">
      <c r="B24" s="174"/>
      <c r="C24" s="174"/>
      <c r="D24" s="216">
        <f t="shared" si="0"/>
        <v>0</v>
      </c>
      <c r="E24" s="217">
        <v>4</v>
      </c>
      <c r="F24" s="217">
        <v>1</v>
      </c>
      <c r="G24" s="217">
        <v>1</v>
      </c>
      <c r="H24" s="217">
        <v>3</v>
      </c>
      <c r="I24" s="217">
        <v>3</v>
      </c>
      <c r="J24" s="217">
        <v>3</v>
      </c>
      <c r="K24" s="217">
        <v>1</v>
      </c>
      <c r="L24" s="217">
        <v>1</v>
      </c>
      <c r="M24" s="217">
        <v>3</v>
      </c>
      <c r="N24" s="217">
        <v>2</v>
      </c>
      <c r="O24" s="217">
        <v>3</v>
      </c>
      <c r="P24" s="217">
        <v>3</v>
      </c>
      <c r="Q24" s="217">
        <v>4</v>
      </c>
      <c r="R24" s="217">
        <v>4</v>
      </c>
      <c r="S24" s="217">
        <v>1</v>
      </c>
      <c r="T24" s="217">
        <v>1</v>
      </c>
      <c r="U24" s="217">
        <v>1</v>
      </c>
      <c r="V24" s="217">
        <v>1</v>
      </c>
      <c r="W24" s="217">
        <v>1</v>
      </c>
      <c r="X24" s="217">
        <v>1</v>
      </c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9"/>
      <c r="AU24" s="220"/>
      <c r="AV24" s="221">
        <f>'Form RCI (3)'!R44</f>
        <v>2.6666666666666665</v>
      </c>
      <c r="AW24" s="219"/>
      <c r="AX24" s="222" t="str">
        <f t="shared" si="1"/>
        <v>ERROR</v>
      </c>
      <c r="AY24" s="223"/>
      <c r="AZ24" s="624" t="s">
        <v>171</v>
      </c>
      <c r="BA24" s="624"/>
      <c r="BB24" s="624"/>
      <c r="BC24" s="624"/>
      <c r="BD24" s="624"/>
      <c r="BE24" s="624"/>
      <c r="BF24" s="624"/>
      <c r="BG24" s="169"/>
      <c r="BH24" s="170" t="str">
        <f t="shared" si="2"/>
        <v>RUSAK BERAT</v>
      </c>
      <c r="BI24" s="224"/>
      <c r="BJ24" s="170" t="str">
        <f t="shared" si="3"/>
        <v>RB</v>
      </c>
      <c r="BK24" s="224"/>
      <c r="BL24" s="225" t="s">
        <v>169</v>
      </c>
      <c r="BM24" s="224"/>
      <c r="BN24" s="225">
        <f t="shared" si="4"/>
        <v>3.3</v>
      </c>
      <c r="BO24" s="226"/>
      <c r="BQ24" s="228">
        <f t="shared" si="5"/>
        <v>0</v>
      </c>
      <c r="BR24" s="228">
        <f t="shared" si="6"/>
        <v>0</v>
      </c>
      <c r="BS24" s="228">
        <f t="shared" si="7"/>
        <v>0</v>
      </c>
      <c r="BT24" s="228">
        <f t="shared" si="8"/>
        <v>0</v>
      </c>
      <c r="BU24" s="229">
        <f t="shared" si="9"/>
        <v>0</v>
      </c>
      <c r="BV24" s="230">
        <f t="shared" si="10"/>
        <v>0</v>
      </c>
      <c r="BW24" s="231" t="str">
        <f t="shared" si="11"/>
        <v/>
      </c>
      <c r="BX24" s="195">
        <v>3.3</v>
      </c>
      <c r="BY24" s="195">
        <v>0.3</v>
      </c>
      <c r="BZ24" s="195">
        <v>0.42</v>
      </c>
      <c r="CA24" s="195" t="s">
        <v>168</v>
      </c>
      <c r="CB24" s="195" t="s">
        <v>168</v>
      </c>
      <c r="CC24" s="195" t="s">
        <v>168</v>
      </c>
      <c r="CD24" s="195" t="s">
        <v>168</v>
      </c>
    </row>
    <row r="25" spans="2:82" s="227" customFormat="1" ht="27.75" customHeight="1" x14ac:dyDescent="0.2">
      <c r="B25" s="174"/>
      <c r="C25" s="174"/>
      <c r="D25" s="216">
        <f t="shared" si="0"/>
        <v>0</v>
      </c>
      <c r="E25" s="217">
        <v>4</v>
      </c>
      <c r="F25" s="217">
        <v>1</v>
      </c>
      <c r="G25" s="217">
        <v>1</v>
      </c>
      <c r="H25" s="217">
        <v>3</v>
      </c>
      <c r="I25" s="217">
        <v>3</v>
      </c>
      <c r="J25" s="217">
        <v>3</v>
      </c>
      <c r="K25" s="217">
        <v>1</v>
      </c>
      <c r="L25" s="217">
        <v>1</v>
      </c>
      <c r="M25" s="217">
        <v>3</v>
      </c>
      <c r="N25" s="217">
        <v>2</v>
      </c>
      <c r="O25" s="217">
        <v>3</v>
      </c>
      <c r="P25" s="217">
        <v>3</v>
      </c>
      <c r="Q25" s="217">
        <v>4</v>
      </c>
      <c r="R25" s="217">
        <v>4</v>
      </c>
      <c r="S25" s="217">
        <v>1</v>
      </c>
      <c r="T25" s="217">
        <v>1</v>
      </c>
      <c r="U25" s="217">
        <v>1</v>
      </c>
      <c r="V25" s="217">
        <v>1</v>
      </c>
      <c r="W25" s="217">
        <v>1</v>
      </c>
      <c r="X25" s="217">
        <v>1</v>
      </c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9"/>
      <c r="AU25" s="220"/>
      <c r="AV25" s="221">
        <f>'Form RCI (3)'!R45</f>
        <v>2.3333333333333335</v>
      </c>
      <c r="AW25" s="219"/>
      <c r="AX25" s="222" t="str">
        <f t="shared" si="1"/>
        <v>ERROR</v>
      </c>
      <c r="AY25" s="223"/>
      <c r="AZ25" s="624" t="s">
        <v>171</v>
      </c>
      <c r="BA25" s="624"/>
      <c r="BB25" s="624"/>
      <c r="BC25" s="624"/>
      <c r="BD25" s="624"/>
      <c r="BE25" s="624"/>
      <c r="BF25" s="624"/>
      <c r="BG25" s="169"/>
      <c r="BH25" s="170" t="str">
        <f t="shared" si="2"/>
        <v>RUSAK BERAT</v>
      </c>
      <c r="BI25" s="224"/>
      <c r="BJ25" s="170" t="str">
        <f t="shared" si="3"/>
        <v>RB</v>
      </c>
      <c r="BK25" s="224"/>
      <c r="BL25" s="225" t="s">
        <v>169</v>
      </c>
      <c r="BM25" s="224"/>
      <c r="BN25" s="225">
        <f t="shared" si="4"/>
        <v>3.3</v>
      </c>
      <c r="BO25" s="226"/>
      <c r="BQ25" s="228">
        <f t="shared" si="5"/>
        <v>0</v>
      </c>
      <c r="BR25" s="228">
        <f t="shared" si="6"/>
        <v>0</v>
      </c>
      <c r="BS25" s="228">
        <f t="shared" si="7"/>
        <v>0</v>
      </c>
      <c r="BT25" s="228">
        <f t="shared" si="8"/>
        <v>0</v>
      </c>
      <c r="BU25" s="229">
        <f t="shared" si="9"/>
        <v>0</v>
      </c>
      <c r="BV25" s="230">
        <f t="shared" si="10"/>
        <v>0</v>
      </c>
      <c r="BW25" s="231" t="str">
        <f t="shared" si="11"/>
        <v/>
      </c>
      <c r="BX25" s="195">
        <v>3.3</v>
      </c>
      <c r="BY25" s="195">
        <v>0.3</v>
      </c>
      <c r="BZ25" s="195">
        <v>0.42</v>
      </c>
      <c r="CA25" s="195" t="s">
        <v>168</v>
      </c>
      <c r="CB25" s="195" t="s">
        <v>168</v>
      </c>
      <c r="CC25" s="195" t="s">
        <v>168</v>
      </c>
      <c r="CD25" s="195" t="s">
        <v>168</v>
      </c>
    </row>
    <row r="26" spans="2:82" s="227" customFormat="1" ht="27.75" customHeight="1" x14ac:dyDescent="0.2">
      <c r="B26" s="174"/>
      <c r="C26" s="174"/>
      <c r="D26" s="216">
        <f t="shared" si="0"/>
        <v>0</v>
      </c>
      <c r="E26" s="217">
        <v>4</v>
      </c>
      <c r="F26" s="217">
        <v>1</v>
      </c>
      <c r="G26" s="217">
        <v>1</v>
      </c>
      <c r="H26" s="217">
        <v>3</v>
      </c>
      <c r="I26" s="217">
        <v>3</v>
      </c>
      <c r="J26" s="217">
        <v>3</v>
      </c>
      <c r="K26" s="217">
        <v>1</v>
      </c>
      <c r="L26" s="217">
        <v>1</v>
      </c>
      <c r="M26" s="217">
        <v>3</v>
      </c>
      <c r="N26" s="217">
        <v>2</v>
      </c>
      <c r="O26" s="217">
        <v>3</v>
      </c>
      <c r="P26" s="217">
        <v>3</v>
      </c>
      <c r="Q26" s="217">
        <v>4</v>
      </c>
      <c r="R26" s="217">
        <v>4</v>
      </c>
      <c r="S26" s="217">
        <v>1</v>
      </c>
      <c r="T26" s="217">
        <v>1</v>
      </c>
      <c r="U26" s="217">
        <v>1</v>
      </c>
      <c r="V26" s="217">
        <v>1</v>
      </c>
      <c r="W26" s="217">
        <v>1</v>
      </c>
      <c r="X26" s="217">
        <v>1</v>
      </c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9"/>
      <c r="AU26" s="220"/>
      <c r="AV26" s="221">
        <f>'Form RCI (3)'!R46</f>
        <v>2.6666666666666665</v>
      </c>
      <c r="AW26" s="219"/>
      <c r="AX26" s="222" t="str">
        <f t="shared" si="1"/>
        <v>ERROR</v>
      </c>
      <c r="AY26" s="223"/>
      <c r="AZ26" s="624" t="s">
        <v>171</v>
      </c>
      <c r="BA26" s="624"/>
      <c r="BB26" s="624"/>
      <c r="BC26" s="624"/>
      <c r="BD26" s="624"/>
      <c r="BE26" s="624"/>
      <c r="BF26" s="624"/>
      <c r="BG26" s="169"/>
      <c r="BH26" s="170" t="str">
        <f t="shared" si="2"/>
        <v>RUSAK BERAT</v>
      </c>
      <c r="BI26" s="224"/>
      <c r="BJ26" s="170" t="str">
        <f t="shared" si="3"/>
        <v>RB</v>
      </c>
      <c r="BK26" s="224"/>
      <c r="BL26" s="225" t="s">
        <v>169</v>
      </c>
      <c r="BM26" s="224"/>
      <c r="BN26" s="225">
        <f t="shared" si="4"/>
        <v>3.3</v>
      </c>
      <c r="BO26" s="226"/>
      <c r="BQ26" s="228">
        <f t="shared" si="5"/>
        <v>0</v>
      </c>
      <c r="BR26" s="228">
        <f t="shared" si="6"/>
        <v>0</v>
      </c>
      <c r="BS26" s="228">
        <f t="shared" si="7"/>
        <v>0</v>
      </c>
      <c r="BT26" s="228">
        <f t="shared" si="8"/>
        <v>0</v>
      </c>
      <c r="BU26" s="229">
        <f t="shared" si="9"/>
        <v>0</v>
      </c>
      <c r="BV26" s="230">
        <f t="shared" si="10"/>
        <v>0</v>
      </c>
      <c r="BW26" s="231" t="str">
        <f t="shared" si="11"/>
        <v/>
      </c>
      <c r="BX26" s="195">
        <v>3.3</v>
      </c>
      <c r="BY26" s="195">
        <v>0.3</v>
      </c>
      <c r="BZ26" s="195">
        <v>0.42</v>
      </c>
      <c r="CA26" s="195" t="s">
        <v>168</v>
      </c>
      <c r="CB26" s="195" t="s">
        <v>168</v>
      </c>
      <c r="CC26" s="195" t="s">
        <v>168</v>
      </c>
      <c r="CD26" s="195" t="s">
        <v>168</v>
      </c>
    </row>
    <row r="27" spans="2:82" s="227" customFormat="1" ht="27.75" customHeight="1" x14ac:dyDescent="0.2">
      <c r="B27" s="174"/>
      <c r="C27" s="174"/>
      <c r="D27" s="216">
        <f t="shared" si="0"/>
        <v>0</v>
      </c>
      <c r="E27" s="217">
        <v>4</v>
      </c>
      <c r="F27" s="217">
        <v>1</v>
      </c>
      <c r="G27" s="217">
        <v>1</v>
      </c>
      <c r="H27" s="217">
        <v>3</v>
      </c>
      <c r="I27" s="217">
        <v>3</v>
      </c>
      <c r="J27" s="217">
        <v>3</v>
      </c>
      <c r="K27" s="217">
        <v>1</v>
      </c>
      <c r="L27" s="217">
        <v>1</v>
      </c>
      <c r="M27" s="217">
        <v>3</v>
      </c>
      <c r="N27" s="217">
        <v>2</v>
      </c>
      <c r="O27" s="217">
        <v>3</v>
      </c>
      <c r="P27" s="217">
        <v>3</v>
      </c>
      <c r="Q27" s="217">
        <v>4</v>
      </c>
      <c r="R27" s="217">
        <v>4</v>
      </c>
      <c r="S27" s="217">
        <v>1</v>
      </c>
      <c r="T27" s="217">
        <v>1</v>
      </c>
      <c r="U27" s="217">
        <v>1</v>
      </c>
      <c r="V27" s="217">
        <v>1</v>
      </c>
      <c r="W27" s="217">
        <v>1</v>
      </c>
      <c r="X27" s="217">
        <v>1</v>
      </c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9"/>
      <c r="AU27" s="220"/>
      <c r="AV27" s="221">
        <f>'Form RCI (3)'!R47</f>
        <v>2.6666666666666665</v>
      </c>
      <c r="AW27" s="219"/>
      <c r="AX27" s="222" t="str">
        <f t="shared" si="1"/>
        <v>ERROR</v>
      </c>
      <c r="AY27" s="223"/>
      <c r="AZ27" s="624" t="s">
        <v>171</v>
      </c>
      <c r="BA27" s="624"/>
      <c r="BB27" s="624"/>
      <c r="BC27" s="624"/>
      <c r="BD27" s="624"/>
      <c r="BE27" s="624"/>
      <c r="BF27" s="624"/>
      <c r="BG27" s="169"/>
      <c r="BH27" s="170" t="str">
        <f t="shared" si="2"/>
        <v>RUSAK BERAT</v>
      </c>
      <c r="BI27" s="224"/>
      <c r="BJ27" s="170" t="str">
        <f t="shared" si="3"/>
        <v>RB</v>
      </c>
      <c r="BK27" s="224"/>
      <c r="BL27" s="225" t="s">
        <v>169</v>
      </c>
      <c r="BM27" s="224"/>
      <c r="BN27" s="225">
        <f t="shared" si="4"/>
        <v>3.3</v>
      </c>
      <c r="BO27" s="226"/>
      <c r="BQ27" s="228">
        <f t="shared" si="5"/>
        <v>0</v>
      </c>
      <c r="BR27" s="228">
        <f t="shared" si="6"/>
        <v>0</v>
      </c>
      <c r="BS27" s="228">
        <f t="shared" si="7"/>
        <v>0</v>
      </c>
      <c r="BT27" s="228">
        <f t="shared" si="8"/>
        <v>0</v>
      </c>
      <c r="BU27" s="229">
        <f t="shared" si="9"/>
        <v>0</v>
      </c>
      <c r="BV27" s="230">
        <f t="shared" si="10"/>
        <v>0</v>
      </c>
      <c r="BW27" s="231" t="str">
        <f t="shared" si="11"/>
        <v/>
      </c>
      <c r="BX27" s="195">
        <v>3.3</v>
      </c>
      <c r="BY27" s="195">
        <v>0.3</v>
      </c>
      <c r="BZ27" s="195">
        <v>0.42</v>
      </c>
      <c r="CA27" s="195" t="s">
        <v>168</v>
      </c>
      <c r="CB27" s="195" t="s">
        <v>168</v>
      </c>
      <c r="CC27" s="195" t="s">
        <v>168</v>
      </c>
      <c r="CD27" s="195" t="s">
        <v>168</v>
      </c>
    </row>
    <row r="28" spans="2:82" s="227" customFormat="1" ht="27.75" customHeight="1" x14ac:dyDescent="0.2">
      <c r="B28" s="174"/>
      <c r="C28" s="174"/>
      <c r="D28" s="216">
        <f t="shared" si="0"/>
        <v>0</v>
      </c>
      <c r="E28" s="217">
        <v>4</v>
      </c>
      <c r="F28" s="217">
        <v>1</v>
      </c>
      <c r="G28" s="217">
        <v>1</v>
      </c>
      <c r="H28" s="217">
        <v>3</v>
      </c>
      <c r="I28" s="217">
        <v>3</v>
      </c>
      <c r="J28" s="217">
        <v>3</v>
      </c>
      <c r="K28" s="217">
        <v>1</v>
      </c>
      <c r="L28" s="217">
        <v>1</v>
      </c>
      <c r="M28" s="217">
        <v>3</v>
      </c>
      <c r="N28" s="217">
        <v>2</v>
      </c>
      <c r="O28" s="217">
        <v>3</v>
      </c>
      <c r="P28" s="217">
        <v>3</v>
      </c>
      <c r="Q28" s="217">
        <v>4</v>
      </c>
      <c r="R28" s="217">
        <v>4</v>
      </c>
      <c r="S28" s="217">
        <v>1</v>
      </c>
      <c r="T28" s="217">
        <v>1</v>
      </c>
      <c r="U28" s="217">
        <v>1</v>
      </c>
      <c r="V28" s="217">
        <v>1</v>
      </c>
      <c r="W28" s="217">
        <v>1</v>
      </c>
      <c r="X28" s="217">
        <v>1</v>
      </c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9"/>
      <c r="AU28" s="220"/>
      <c r="AV28" s="221">
        <f>'Form RCI (3)'!R48</f>
        <v>2.3333333333333335</v>
      </c>
      <c r="AW28" s="219"/>
      <c r="AX28" s="222" t="str">
        <f t="shared" si="1"/>
        <v>ERROR</v>
      </c>
      <c r="AY28" s="223"/>
      <c r="AZ28" s="624" t="s">
        <v>171</v>
      </c>
      <c r="BA28" s="624"/>
      <c r="BB28" s="624"/>
      <c r="BC28" s="624"/>
      <c r="BD28" s="624"/>
      <c r="BE28" s="624"/>
      <c r="BF28" s="624"/>
      <c r="BG28" s="169"/>
      <c r="BH28" s="170" t="str">
        <f t="shared" si="2"/>
        <v>RUSAK BERAT</v>
      </c>
      <c r="BI28" s="224"/>
      <c r="BJ28" s="170" t="str">
        <f t="shared" si="3"/>
        <v>RB</v>
      </c>
      <c r="BK28" s="224"/>
      <c r="BL28" s="225" t="s">
        <v>169</v>
      </c>
      <c r="BM28" s="224"/>
      <c r="BN28" s="225">
        <f t="shared" si="4"/>
        <v>3.3</v>
      </c>
      <c r="BO28" s="226"/>
      <c r="BQ28" s="228">
        <f t="shared" si="5"/>
        <v>0</v>
      </c>
      <c r="BR28" s="228">
        <f t="shared" si="6"/>
        <v>0</v>
      </c>
      <c r="BS28" s="228">
        <f t="shared" si="7"/>
        <v>0</v>
      </c>
      <c r="BT28" s="228">
        <f t="shared" si="8"/>
        <v>0</v>
      </c>
      <c r="BU28" s="229">
        <f t="shared" si="9"/>
        <v>0</v>
      </c>
      <c r="BV28" s="230">
        <f t="shared" si="10"/>
        <v>0</v>
      </c>
      <c r="BW28" s="231" t="str">
        <f t="shared" si="11"/>
        <v/>
      </c>
      <c r="BX28" s="195">
        <v>3.3</v>
      </c>
      <c r="BY28" s="195">
        <v>0.3</v>
      </c>
      <c r="BZ28" s="195">
        <v>0.42</v>
      </c>
      <c r="CA28" s="195" t="s">
        <v>168</v>
      </c>
      <c r="CB28" s="195" t="s">
        <v>168</v>
      </c>
      <c r="CC28" s="195" t="s">
        <v>168</v>
      </c>
      <c r="CD28" s="195" t="s">
        <v>168</v>
      </c>
    </row>
    <row r="29" spans="2:82" s="227" customFormat="1" ht="27.75" customHeight="1" x14ac:dyDescent="0.2">
      <c r="B29" s="174"/>
      <c r="C29" s="174"/>
      <c r="D29" s="216">
        <f t="shared" si="0"/>
        <v>0</v>
      </c>
      <c r="E29" s="217">
        <v>4</v>
      </c>
      <c r="F29" s="217">
        <v>1</v>
      </c>
      <c r="G29" s="217">
        <v>1</v>
      </c>
      <c r="H29" s="217">
        <v>3</v>
      </c>
      <c r="I29" s="217">
        <v>3</v>
      </c>
      <c r="J29" s="217">
        <v>3</v>
      </c>
      <c r="K29" s="217">
        <v>1</v>
      </c>
      <c r="L29" s="217">
        <v>1</v>
      </c>
      <c r="M29" s="217">
        <v>3</v>
      </c>
      <c r="N29" s="217">
        <v>2</v>
      </c>
      <c r="O29" s="217">
        <v>3</v>
      </c>
      <c r="P29" s="217">
        <v>3</v>
      </c>
      <c r="Q29" s="217">
        <v>4</v>
      </c>
      <c r="R29" s="217">
        <v>4</v>
      </c>
      <c r="S29" s="217">
        <v>1</v>
      </c>
      <c r="T29" s="217">
        <v>1</v>
      </c>
      <c r="U29" s="217">
        <v>1</v>
      </c>
      <c r="V29" s="217">
        <v>1</v>
      </c>
      <c r="W29" s="217">
        <v>1</v>
      </c>
      <c r="X29" s="217">
        <v>1</v>
      </c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9"/>
      <c r="AU29" s="220"/>
      <c r="AV29" s="221">
        <f>'Form RCI (3)'!R49</f>
        <v>2.3333333333333335</v>
      </c>
      <c r="AW29" s="219"/>
      <c r="AX29" s="222" t="str">
        <f t="shared" si="1"/>
        <v>ERROR</v>
      </c>
      <c r="AY29" s="223"/>
      <c r="AZ29" s="624" t="s">
        <v>171</v>
      </c>
      <c r="BA29" s="624"/>
      <c r="BB29" s="624"/>
      <c r="BC29" s="624"/>
      <c r="BD29" s="624"/>
      <c r="BE29" s="624"/>
      <c r="BF29" s="624"/>
      <c r="BG29" s="169"/>
      <c r="BH29" s="170" t="str">
        <f t="shared" si="2"/>
        <v>RUSAK BERAT</v>
      </c>
      <c r="BI29" s="224"/>
      <c r="BJ29" s="170" t="str">
        <f t="shared" si="3"/>
        <v>RB</v>
      </c>
      <c r="BK29" s="224"/>
      <c r="BL29" s="225" t="s">
        <v>169</v>
      </c>
      <c r="BM29" s="224"/>
      <c r="BN29" s="225">
        <f t="shared" si="4"/>
        <v>3.3</v>
      </c>
      <c r="BO29" s="226"/>
      <c r="BQ29" s="228">
        <f t="shared" si="5"/>
        <v>0</v>
      </c>
      <c r="BR29" s="228">
        <f t="shared" si="6"/>
        <v>0</v>
      </c>
      <c r="BS29" s="228">
        <f t="shared" si="7"/>
        <v>0</v>
      </c>
      <c r="BT29" s="228">
        <f t="shared" si="8"/>
        <v>0</v>
      </c>
      <c r="BU29" s="229">
        <f t="shared" si="9"/>
        <v>0</v>
      </c>
      <c r="BV29" s="230">
        <f t="shared" si="10"/>
        <v>0</v>
      </c>
      <c r="BW29" s="231" t="str">
        <f t="shared" si="11"/>
        <v/>
      </c>
      <c r="BX29" s="195">
        <v>3.3</v>
      </c>
      <c r="BY29" s="195">
        <v>0.3</v>
      </c>
      <c r="BZ29" s="195">
        <v>0.42</v>
      </c>
      <c r="CA29" s="195" t="s">
        <v>168</v>
      </c>
      <c r="CB29" s="195" t="s">
        <v>168</v>
      </c>
      <c r="CC29" s="195" t="s">
        <v>168</v>
      </c>
      <c r="CD29" s="195" t="s">
        <v>168</v>
      </c>
    </row>
    <row r="30" spans="2:82" s="227" customFormat="1" ht="27.75" customHeight="1" x14ac:dyDescent="0.2">
      <c r="B30" s="174"/>
      <c r="C30" s="174"/>
      <c r="D30" s="216">
        <f t="shared" si="0"/>
        <v>0</v>
      </c>
      <c r="E30" s="217">
        <v>4</v>
      </c>
      <c r="F30" s="217">
        <v>1</v>
      </c>
      <c r="G30" s="217">
        <v>1</v>
      </c>
      <c r="H30" s="217">
        <v>3</v>
      </c>
      <c r="I30" s="217">
        <v>3</v>
      </c>
      <c r="J30" s="217">
        <v>3</v>
      </c>
      <c r="K30" s="217">
        <v>1</v>
      </c>
      <c r="L30" s="217">
        <v>1</v>
      </c>
      <c r="M30" s="217">
        <v>3</v>
      </c>
      <c r="N30" s="217">
        <v>2</v>
      </c>
      <c r="O30" s="217">
        <v>3</v>
      </c>
      <c r="P30" s="217">
        <v>3</v>
      </c>
      <c r="Q30" s="217">
        <v>4</v>
      </c>
      <c r="R30" s="217">
        <v>4</v>
      </c>
      <c r="S30" s="217">
        <v>1</v>
      </c>
      <c r="T30" s="217">
        <v>1</v>
      </c>
      <c r="U30" s="217">
        <v>1</v>
      </c>
      <c r="V30" s="217">
        <v>1</v>
      </c>
      <c r="W30" s="217">
        <v>1</v>
      </c>
      <c r="X30" s="217">
        <v>1</v>
      </c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9"/>
      <c r="AU30" s="220"/>
      <c r="AV30" s="221">
        <f>'Form RCI (3)'!R50</f>
        <v>2.6666666666666665</v>
      </c>
      <c r="AW30" s="219"/>
      <c r="AX30" s="222" t="str">
        <f t="shared" si="1"/>
        <v>ERROR</v>
      </c>
      <c r="AY30" s="223"/>
      <c r="AZ30" s="624" t="s">
        <v>171</v>
      </c>
      <c r="BA30" s="624"/>
      <c r="BB30" s="624"/>
      <c r="BC30" s="624"/>
      <c r="BD30" s="624"/>
      <c r="BE30" s="624"/>
      <c r="BF30" s="624"/>
      <c r="BG30" s="169"/>
      <c r="BH30" s="170" t="str">
        <f t="shared" si="2"/>
        <v>RUSAK BERAT</v>
      </c>
      <c r="BI30" s="224"/>
      <c r="BJ30" s="170" t="str">
        <f t="shared" si="3"/>
        <v>RB</v>
      </c>
      <c r="BK30" s="224"/>
      <c r="BL30" s="225" t="s">
        <v>169</v>
      </c>
      <c r="BM30" s="224"/>
      <c r="BN30" s="225">
        <f t="shared" si="4"/>
        <v>3.3</v>
      </c>
      <c r="BO30" s="226"/>
      <c r="BQ30" s="228">
        <f t="shared" si="5"/>
        <v>0</v>
      </c>
      <c r="BR30" s="228">
        <f t="shared" si="6"/>
        <v>0</v>
      </c>
      <c r="BS30" s="228">
        <f t="shared" si="7"/>
        <v>0</v>
      </c>
      <c r="BT30" s="228">
        <f t="shared" si="8"/>
        <v>0</v>
      </c>
      <c r="BU30" s="229">
        <f t="shared" si="9"/>
        <v>0</v>
      </c>
      <c r="BV30" s="230">
        <f t="shared" si="10"/>
        <v>0</v>
      </c>
      <c r="BW30" s="231" t="str">
        <f t="shared" si="11"/>
        <v/>
      </c>
      <c r="BX30" s="195">
        <v>3.3</v>
      </c>
      <c r="BY30" s="195">
        <v>0.3</v>
      </c>
      <c r="BZ30" s="195">
        <v>0.42</v>
      </c>
      <c r="CA30" s="195" t="s">
        <v>168</v>
      </c>
      <c r="CB30" s="195" t="s">
        <v>168</v>
      </c>
      <c r="CC30" s="195" t="s">
        <v>168</v>
      </c>
      <c r="CD30" s="195" t="s">
        <v>168</v>
      </c>
    </row>
    <row r="31" spans="2:82" s="227" customFormat="1" ht="27.75" customHeight="1" x14ac:dyDescent="0.2">
      <c r="B31" s="174"/>
      <c r="C31" s="174"/>
      <c r="D31" s="216">
        <f t="shared" si="0"/>
        <v>0</v>
      </c>
      <c r="E31" s="217">
        <v>4</v>
      </c>
      <c r="F31" s="217">
        <v>1</v>
      </c>
      <c r="G31" s="217">
        <v>1</v>
      </c>
      <c r="H31" s="217">
        <v>3</v>
      </c>
      <c r="I31" s="217">
        <v>3</v>
      </c>
      <c r="J31" s="217">
        <v>3</v>
      </c>
      <c r="K31" s="217">
        <v>1</v>
      </c>
      <c r="L31" s="217">
        <v>1</v>
      </c>
      <c r="M31" s="217">
        <v>3</v>
      </c>
      <c r="N31" s="217">
        <v>2</v>
      </c>
      <c r="O31" s="217">
        <v>3</v>
      </c>
      <c r="P31" s="217">
        <v>3</v>
      </c>
      <c r="Q31" s="217">
        <v>4</v>
      </c>
      <c r="R31" s="217">
        <v>4</v>
      </c>
      <c r="S31" s="217">
        <v>1</v>
      </c>
      <c r="T31" s="217">
        <v>1</v>
      </c>
      <c r="U31" s="217">
        <v>1</v>
      </c>
      <c r="V31" s="217">
        <v>1</v>
      </c>
      <c r="W31" s="217">
        <v>1</v>
      </c>
      <c r="X31" s="217">
        <v>1</v>
      </c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9"/>
      <c r="AU31" s="220"/>
      <c r="AV31" s="221">
        <f>'Form RCI (3)'!R51</f>
        <v>2.3333333333333335</v>
      </c>
      <c r="AW31" s="219"/>
      <c r="AX31" s="222" t="str">
        <f t="shared" si="1"/>
        <v>ERROR</v>
      </c>
      <c r="AY31" s="223"/>
      <c r="AZ31" s="624" t="s">
        <v>171</v>
      </c>
      <c r="BA31" s="624"/>
      <c r="BB31" s="624"/>
      <c r="BC31" s="624"/>
      <c r="BD31" s="624"/>
      <c r="BE31" s="624"/>
      <c r="BF31" s="624"/>
      <c r="BG31" s="169"/>
      <c r="BH31" s="170" t="str">
        <f t="shared" si="2"/>
        <v>RUSAK BERAT</v>
      </c>
      <c r="BI31" s="224"/>
      <c r="BJ31" s="170" t="str">
        <f t="shared" si="3"/>
        <v>RB</v>
      </c>
      <c r="BK31" s="224"/>
      <c r="BL31" s="225" t="s">
        <v>169</v>
      </c>
      <c r="BM31" s="224"/>
      <c r="BN31" s="225">
        <f t="shared" si="4"/>
        <v>3.3</v>
      </c>
      <c r="BO31" s="226"/>
      <c r="BQ31" s="228">
        <f t="shared" si="5"/>
        <v>0</v>
      </c>
      <c r="BR31" s="228">
        <f t="shared" si="6"/>
        <v>0</v>
      </c>
      <c r="BS31" s="228">
        <f t="shared" si="7"/>
        <v>0</v>
      </c>
      <c r="BT31" s="228">
        <f t="shared" si="8"/>
        <v>0</v>
      </c>
      <c r="BU31" s="229">
        <f t="shared" si="9"/>
        <v>0</v>
      </c>
      <c r="BV31" s="230">
        <f t="shared" si="10"/>
        <v>0</v>
      </c>
      <c r="BW31" s="231" t="str">
        <f t="shared" si="11"/>
        <v/>
      </c>
      <c r="BX31" s="195">
        <v>3.3</v>
      </c>
      <c r="BY31" s="195">
        <v>0.3</v>
      </c>
      <c r="BZ31" s="195">
        <v>0.42</v>
      </c>
      <c r="CA31" s="195" t="s">
        <v>168</v>
      </c>
      <c r="CB31" s="195" t="s">
        <v>168</v>
      </c>
      <c r="CC31" s="195" t="s">
        <v>168</v>
      </c>
      <c r="CD31" s="195" t="s">
        <v>168</v>
      </c>
    </row>
    <row r="32" spans="2:82" s="227" customFormat="1" ht="27.75" customHeight="1" x14ac:dyDescent="0.2">
      <c r="B32" s="174"/>
      <c r="C32" s="174"/>
      <c r="D32" s="216">
        <f t="shared" si="0"/>
        <v>0</v>
      </c>
      <c r="E32" s="217">
        <v>4</v>
      </c>
      <c r="F32" s="217">
        <v>1</v>
      </c>
      <c r="G32" s="217">
        <v>1</v>
      </c>
      <c r="H32" s="217">
        <v>3</v>
      </c>
      <c r="I32" s="217">
        <v>3</v>
      </c>
      <c r="J32" s="217">
        <v>3</v>
      </c>
      <c r="K32" s="217">
        <v>1</v>
      </c>
      <c r="L32" s="217">
        <v>1</v>
      </c>
      <c r="M32" s="217">
        <v>3</v>
      </c>
      <c r="N32" s="217">
        <v>2</v>
      </c>
      <c r="O32" s="217">
        <v>3</v>
      </c>
      <c r="P32" s="217">
        <v>3</v>
      </c>
      <c r="Q32" s="217">
        <v>4</v>
      </c>
      <c r="R32" s="217">
        <v>4</v>
      </c>
      <c r="S32" s="217">
        <v>1</v>
      </c>
      <c r="T32" s="217">
        <v>1</v>
      </c>
      <c r="U32" s="217">
        <v>1</v>
      </c>
      <c r="V32" s="217">
        <v>1</v>
      </c>
      <c r="W32" s="217">
        <v>1</v>
      </c>
      <c r="X32" s="217">
        <v>1</v>
      </c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9"/>
      <c r="AU32" s="220"/>
      <c r="AV32" s="221">
        <f>'Form RCI (3)'!AM31</f>
        <v>2.6666666666666665</v>
      </c>
      <c r="AW32" s="219"/>
      <c r="AX32" s="222" t="str">
        <f t="shared" si="1"/>
        <v>ERROR</v>
      </c>
      <c r="AY32" s="223"/>
      <c r="AZ32" s="624" t="s">
        <v>171</v>
      </c>
      <c r="BA32" s="624"/>
      <c r="BB32" s="624"/>
      <c r="BC32" s="624"/>
      <c r="BD32" s="624"/>
      <c r="BE32" s="624"/>
      <c r="BF32" s="624"/>
      <c r="BG32" s="169"/>
      <c r="BH32" s="170" t="str">
        <f t="shared" si="2"/>
        <v>RUSAK BERAT</v>
      </c>
      <c r="BI32" s="224"/>
      <c r="BJ32" s="170" t="str">
        <f t="shared" si="3"/>
        <v>RB</v>
      </c>
      <c r="BK32" s="224"/>
      <c r="BL32" s="225" t="s">
        <v>169</v>
      </c>
      <c r="BM32" s="224"/>
      <c r="BN32" s="225">
        <f t="shared" si="4"/>
        <v>3.3</v>
      </c>
      <c r="BO32" s="226"/>
      <c r="BQ32" s="228">
        <f t="shared" si="5"/>
        <v>0</v>
      </c>
      <c r="BR32" s="228">
        <f t="shared" si="6"/>
        <v>0</v>
      </c>
      <c r="BS32" s="228">
        <f t="shared" si="7"/>
        <v>0</v>
      </c>
      <c r="BT32" s="228">
        <f t="shared" si="8"/>
        <v>0</v>
      </c>
      <c r="BU32" s="229">
        <f t="shared" si="9"/>
        <v>0</v>
      </c>
      <c r="BV32" s="230">
        <f t="shared" si="10"/>
        <v>0</v>
      </c>
      <c r="BW32" s="231" t="str">
        <f t="shared" si="11"/>
        <v/>
      </c>
      <c r="BX32" s="195">
        <v>3.3</v>
      </c>
      <c r="BY32" s="195">
        <v>0.3</v>
      </c>
      <c r="BZ32" s="195">
        <v>0.42</v>
      </c>
      <c r="CA32" s="195" t="s">
        <v>168</v>
      </c>
      <c r="CB32" s="195" t="s">
        <v>168</v>
      </c>
      <c r="CC32" s="195" t="s">
        <v>168</v>
      </c>
      <c r="CD32" s="195" t="s">
        <v>168</v>
      </c>
    </row>
    <row r="33" spans="2:82" s="227" customFormat="1" ht="27.75" customHeight="1" x14ac:dyDescent="0.2">
      <c r="B33" s="174"/>
      <c r="C33" s="174"/>
      <c r="D33" s="216">
        <f t="shared" si="0"/>
        <v>0</v>
      </c>
      <c r="E33" s="217">
        <v>4</v>
      </c>
      <c r="F33" s="217">
        <v>1</v>
      </c>
      <c r="G33" s="217">
        <v>1</v>
      </c>
      <c r="H33" s="217">
        <v>3</v>
      </c>
      <c r="I33" s="217">
        <v>3</v>
      </c>
      <c r="J33" s="217">
        <v>3</v>
      </c>
      <c r="K33" s="217">
        <v>1</v>
      </c>
      <c r="L33" s="217">
        <v>1</v>
      </c>
      <c r="M33" s="217">
        <v>3</v>
      </c>
      <c r="N33" s="217">
        <v>2</v>
      </c>
      <c r="O33" s="217">
        <v>3</v>
      </c>
      <c r="P33" s="217">
        <v>3</v>
      </c>
      <c r="Q33" s="217">
        <v>4</v>
      </c>
      <c r="R33" s="217">
        <v>4</v>
      </c>
      <c r="S33" s="217">
        <v>1</v>
      </c>
      <c r="T33" s="217">
        <v>1</v>
      </c>
      <c r="U33" s="217">
        <v>1</v>
      </c>
      <c r="V33" s="217">
        <v>1</v>
      </c>
      <c r="W33" s="217">
        <v>1</v>
      </c>
      <c r="X33" s="217">
        <v>1</v>
      </c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9"/>
      <c r="AU33" s="220"/>
      <c r="AV33" s="221">
        <f>'Form RCI (3)'!AM32</f>
        <v>2.6666666666666665</v>
      </c>
      <c r="AW33" s="219"/>
      <c r="AX33" s="222" t="str">
        <f t="shared" si="1"/>
        <v>ERROR</v>
      </c>
      <c r="AY33" s="223"/>
      <c r="AZ33" s="624" t="s">
        <v>171</v>
      </c>
      <c r="BA33" s="624"/>
      <c r="BB33" s="624"/>
      <c r="BC33" s="624"/>
      <c r="BD33" s="624"/>
      <c r="BE33" s="624"/>
      <c r="BF33" s="624"/>
      <c r="BG33" s="169"/>
      <c r="BH33" s="170" t="str">
        <f t="shared" si="2"/>
        <v>RUSAK BERAT</v>
      </c>
      <c r="BI33" s="224"/>
      <c r="BJ33" s="170" t="str">
        <f t="shared" si="3"/>
        <v>RB</v>
      </c>
      <c r="BK33" s="224"/>
      <c r="BL33" s="225" t="s">
        <v>169</v>
      </c>
      <c r="BM33" s="224"/>
      <c r="BN33" s="225">
        <f t="shared" si="4"/>
        <v>3.3</v>
      </c>
      <c r="BO33" s="226"/>
      <c r="BQ33" s="228">
        <f t="shared" si="5"/>
        <v>0</v>
      </c>
      <c r="BR33" s="228">
        <f t="shared" si="6"/>
        <v>0</v>
      </c>
      <c r="BS33" s="228">
        <f t="shared" si="7"/>
        <v>0</v>
      </c>
      <c r="BT33" s="228">
        <f t="shared" si="8"/>
        <v>0</v>
      </c>
      <c r="BU33" s="229">
        <f t="shared" si="9"/>
        <v>0</v>
      </c>
      <c r="BV33" s="230">
        <f t="shared" si="10"/>
        <v>0</v>
      </c>
      <c r="BW33" s="231" t="str">
        <f t="shared" si="11"/>
        <v/>
      </c>
      <c r="BX33" s="195">
        <v>3.3</v>
      </c>
      <c r="BY33" s="195">
        <v>0.3</v>
      </c>
      <c r="BZ33" s="195">
        <v>0.42</v>
      </c>
      <c r="CA33" s="195" t="s">
        <v>168</v>
      </c>
      <c r="CB33" s="195" t="s">
        <v>168</v>
      </c>
      <c r="CC33" s="195" t="s">
        <v>168</v>
      </c>
      <c r="CD33" s="195" t="s">
        <v>168</v>
      </c>
    </row>
    <row r="34" spans="2:82" s="227" customFormat="1" ht="27.75" customHeight="1" x14ac:dyDescent="0.2">
      <c r="B34" s="174"/>
      <c r="C34" s="174"/>
      <c r="D34" s="216">
        <f t="shared" si="0"/>
        <v>0</v>
      </c>
      <c r="E34" s="217">
        <v>4</v>
      </c>
      <c r="F34" s="217">
        <v>1</v>
      </c>
      <c r="G34" s="217">
        <v>1</v>
      </c>
      <c r="H34" s="217">
        <v>3</v>
      </c>
      <c r="I34" s="217">
        <v>3</v>
      </c>
      <c r="J34" s="217">
        <v>3</v>
      </c>
      <c r="K34" s="217">
        <v>1</v>
      </c>
      <c r="L34" s="217">
        <v>1</v>
      </c>
      <c r="M34" s="217">
        <v>3</v>
      </c>
      <c r="N34" s="217">
        <v>2</v>
      </c>
      <c r="O34" s="217">
        <v>3</v>
      </c>
      <c r="P34" s="217">
        <v>3</v>
      </c>
      <c r="Q34" s="217">
        <v>4</v>
      </c>
      <c r="R34" s="217">
        <v>4</v>
      </c>
      <c r="S34" s="217">
        <v>1</v>
      </c>
      <c r="T34" s="217">
        <v>1</v>
      </c>
      <c r="U34" s="217">
        <v>1</v>
      </c>
      <c r="V34" s="217">
        <v>1</v>
      </c>
      <c r="W34" s="217">
        <v>1</v>
      </c>
      <c r="X34" s="217">
        <v>1</v>
      </c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9"/>
      <c r="AU34" s="220"/>
      <c r="AV34" s="221">
        <f>'Form RCI (3)'!AM33</f>
        <v>2.6666666666666665</v>
      </c>
      <c r="AW34" s="219"/>
      <c r="AX34" s="222" t="str">
        <f t="shared" si="1"/>
        <v>ERROR</v>
      </c>
      <c r="AY34" s="223"/>
      <c r="AZ34" s="624" t="s">
        <v>171</v>
      </c>
      <c r="BA34" s="624"/>
      <c r="BB34" s="624"/>
      <c r="BC34" s="624"/>
      <c r="BD34" s="624"/>
      <c r="BE34" s="624"/>
      <c r="BF34" s="624"/>
      <c r="BG34" s="169"/>
      <c r="BH34" s="170" t="str">
        <f t="shared" si="2"/>
        <v>RUSAK BERAT</v>
      </c>
      <c r="BI34" s="224"/>
      <c r="BJ34" s="170" t="str">
        <f t="shared" si="3"/>
        <v>RB</v>
      </c>
      <c r="BK34" s="224"/>
      <c r="BL34" s="225" t="s">
        <v>169</v>
      </c>
      <c r="BM34" s="224"/>
      <c r="BN34" s="225">
        <f t="shared" si="4"/>
        <v>3.3</v>
      </c>
      <c r="BO34" s="226"/>
      <c r="BQ34" s="228">
        <f t="shared" si="5"/>
        <v>0</v>
      </c>
      <c r="BR34" s="228">
        <f t="shared" si="6"/>
        <v>0</v>
      </c>
      <c r="BS34" s="228">
        <f t="shared" si="7"/>
        <v>0</v>
      </c>
      <c r="BT34" s="228">
        <f t="shared" si="8"/>
        <v>0</v>
      </c>
      <c r="BU34" s="229">
        <f t="shared" si="9"/>
        <v>0</v>
      </c>
      <c r="BV34" s="230">
        <f t="shared" si="10"/>
        <v>0</v>
      </c>
      <c r="BW34" s="231" t="str">
        <f t="shared" si="11"/>
        <v/>
      </c>
      <c r="BX34" s="195">
        <v>3.3</v>
      </c>
      <c r="BY34" s="195">
        <v>0.3</v>
      </c>
      <c r="BZ34" s="195">
        <v>0.42</v>
      </c>
      <c r="CA34" s="195" t="s">
        <v>168</v>
      </c>
      <c r="CB34" s="195" t="s">
        <v>168</v>
      </c>
      <c r="CC34" s="195" t="s">
        <v>168</v>
      </c>
      <c r="CD34" s="195" t="s">
        <v>168</v>
      </c>
    </row>
    <row r="35" spans="2:82" s="227" customFormat="1" ht="27.75" customHeight="1" x14ac:dyDescent="0.2">
      <c r="B35" s="174"/>
      <c r="C35" s="174"/>
      <c r="D35" s="216">
        <f t="shared" si="0"/>
        <v>0</v>
      </c>
      <c r="E35" s="217">
        <v>4</v>
      </c>
      <c r="F35" s="217">
        <v>1</v>
      </c>
      <c r="G35" s="217">
        <v>1</v>
      </c>
      <c r="H35" s="217">
        <v>3</v>
      </c>
      <c r="I35" s="217">
        <v>3</v>
      </c>
      <c r="J35" s="217">
        <v>3</v>
      </c>
      <c r="K35" s="217">
        <v>1</v>
      </c>
      <c r="L35" s="217">
        <v>1</v>
      </c>
      <c r="M35" s="217">
        <v>3</v>
      </c>
      <c r="N35" s="217">
        <v>2</v>
      </c>
      <c r="O35" s="217">
        <v>3</v>
      </c>
      <c r="P35" s="217">
        <v>3</v>
      </c>
      <c r="Q35" s="217">
        <v>4</v>
      </c>
      <c r="R35" s="217">
        <v>4</v>
      </c>
      <c r="S35" s="217">
        <v>1</v>
      </c>
      <c r="T35" s="217">
        <v>1</v>
      </c>
      <c r="U35" s="217">
        <v>1</v>
      </c>
      <c r="V35" s="217">
        <v>1</v>
      </c>
      <c r="W35" s="217">
        <v>1</v>
      </c>
      <c r="X35" s="217">
        <v>1</v>
      </c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9"/>
      <c r="AU35" s="220"/>
      <c r="AV35" s="221">
        <f>'Form RCI (3)'!AM34</f>
        <v>2.6666666666666665</v>
      </c>
      <c r="AW35" s="219"/>
      <c r="AX35" s="222" t="str">
        <f t="shared" si="1"/>
        <v>ERROR</v>
      </c>
      <c r="AY35" s="223"/>
      <c r="AZ35" s="624" t="s">
        <v>171</v>
      </c>
      <c r="BA35" s="624"/>
      <c r="BB35" s="624"/>
      <c r="BC35" s="624"/>
      <c r="BD35" s="624"/>
      <c r="BE35" s="624"/>
      <c r="BF35" s="624"/>
      <c r="BG35" s="169"/>
      <c r="BH35" s="170" t="str">
        <f t="shared" si="2"/>
        <v>RUSAK BERAT</v>
      </c>
      <c r="BI35" s="224"/>
      <c r="BJ35" s="170" t="str">
        <f t="shared" si="3"/>
        <v>RB</v>
      </c>
      <c r="BK35" s="224"/>
      <c r="BL35" s="225" t="s">
        <v>169</v>
      </c>
      <c r="BM35" s="224"/>
      <c r="BN35" s="225">
        <f t="shared" si="4"/>
        <v>3.3</v>
      </c>
      <c r="BO35" s="226"/>
      <c r="BQ35" s="228">
        <f t="shared" si="5"/>
        <v>0</v>
      </c>
      <c r="BR35" s="228">
        <f t="shared" si="6"/>
        <v>0</v>
      </c>
      <c r="BS35" s="228">
        <f t="shared" si="7"/>
        <v>0</v>
      </c>
      <c r="BT35" s="228">
        <f t="shared" si="8"/>
        <v>0</v>
      </c>
      <c r="BU35" s="229">
        <f t="shared" si="9"/>
        <v>0</v>
      </c>
      <c r="BV35" s="230">
        <f t="shared" si="10"/>
        <v>0</v>
      </c>
      <c r="BW35" s="231" t="str">
        <f t="shared" si="11"/>
        <v/>
      </c>
      <c r="BX35" s="195">
        <v>3.3</v>
      </c>
      <c r="BY35" s="195">
        <v>0.3</v>
      </c>
      <c r="BZ35" s="195">
        <v>0.42</v>
      </c>
      <c r="CA35" s="195" t="s">
        <v>168</v>
      </c>
      <c r="CB35" s="195" t="s">
        <v>168</v>
      </c>
      <c r="CC35" s="195" t="s">
        <v>168</v>
      </c>
      <c r="CD35" s="195" t="s">
        <v>168</v>
      </c>
    </row>
    <row r="36" spans="2:82" s="227" customFormat="1" ht="27.75" customHeight="1" x14ac:dyDescent="0.2">
      <c r="B36" s="174"/>
      <c r="C36" s="174"/>
      <c r="D36" s="216">
        <f t="shared" si="0"/>
        <v>0</v>
      </c>
      <c r="E36" s="217">
        <v>4</v>
      </c>
      <c r="F36" s="217">
        <v>1</v>
      </c>
      <c r="G36" s="217">
        <v>1</v>
      </c>
      <c r="H36" s="217">
        <v>3</v>
      </c>
      <c r="I36" s="217">
        <v>3</v>
      </c>
      <c r="J36" s="217">
        <v>3</v>
      </c>
      <c r="K36" s="217">
        <v>1</v>
      </c>
      <c r="L36" s="217">
        <v>1</v>
      </c>
      <c r="M36" s="217">
        <v>3</v>
      </c>
      <c r="N36" s="217">
        <v>2</v>
      </c>
      <c r="O36" s="217">
        <v>3</v>
      </c>
      <c r="P36" s="217">
        <v>3</v>
      </c>
      <c r="Q36" s="217">
        <v>4</v>
      </c>
      <c r="R36" s="217">
        <v>4</v>
      </c>
      <c r="S36" s="217">
        <v>1</v>
      </c>
      <c r="T36" s="217">
        <v>1</v>
      </c>
      <c r="U36" s="217">
        <v>1</v>
      </c>
      <c r="V36" s="217">
        <v>1</v>
      </c>
      <c r="W36" s="217">
        <v>1</v>
      </c>
      <c r="X36" s="217">
        <v>1</v>
      </c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9"/>
      <c r="AU36" s="220"/>
      <c r="AV36" s="235">
        <f>'Form RCI (3)'!AM35</f>
        <v>2.6666666666666665</v>
      </c>
      <c r="AW36" s="236"/>
      <c r="AX36" s="237" t="str">
        <f t="shared" si="1"/>
        <v>ERROR</v>
      </c>
      <c r="AY36" s="223"/>
      <c r="AZ36" s="632" t="s">
        <v>171</v>
      </c>
      <c r="BA36" s="632"/>
      <c r="BB36" s="632"/>
      <c r="BC36" s="632"/>
      <c r="BD36" s="632"/>
      <c r="BE36" s="632"/>
      <c r="BF36" s="632"/>
      <c r="BG36" s="169"/>
      <c r="BH36" s="238" t="str">
        <f t="shared" si="2"/>
        <v>RUSAK BERAT</v>
      </c>
      <c r="BI36" s="224"/>
      <c r="BJ36" s="238" t="str">
        <f t="shared" si="3"/>
        <v>RB</v>
      </c>
      <c r="BK36" s="224"/>
      <c r="BL36" s="232" t="s">
        <v>169</v>
      </c>
      <c r="BM36" s="224"/>
      <c r="BN36" s="232">
        <f t="shared" si="4"/>
        <v>3.3</v>
      </c>
      <c r="BO36" s="226"/>
      <c r="BQ36" s="228">
        <f t="shared" si="5"/>
        <v>0</v>
      </c>
      <c r="BR36" s="228">
        <f t="shared" si="6"/>
        <v>0</v>
      </c>
      <c r="BS36" s="228">
        <f t="shared" si="7"/>
        <v>0</v>
      </c>
      <c r="BT36" s="228">
        <f t="shared" si="8"/>
        <v>0</v>
      </c>
      <c r="BU36" s="229">
        <f t="shared" si="9"/>
        <v>0</v>
      </c>
      <c r="BV36" s="230">
        <f t="shared" si="10"/>
        <v>0</v>
      </c>
      <c r="BW36" s="231" t="str">
        <f t="shared" si="11"/>
        <v/>
      </c>
      <c r="BX36" s="195">
        <v>3.3</v>
      </c>
      <c r="BY36" s="195">
        <v>0.3</v>
      </c>
      <c r="BZ36" s="195">
        <v>0.42</v>
      </c>
      <c r="CA36" s="195" t="s">
        <v>168</v>
      </c>
      <c r="CB36" s="195" t="s">
        <v>168</v>
      </c>
      <c r="CC36" s="195" t="s">
        <v>168</v>
      </c>
      <c r="CD36" s="195" t="s">
        <v>168</v>
      </c>
    </row>
    <row r="37" spans="2:82" s="227" customFormat="1" ht="27.75" customHeight="1" x14ac:dyDescent="0.2">
      <c r="B37" s="174"/>
      <c r="C37" s="174"/>
      <c r="D37" s="216">
        <f t="shared" si="0"/>
        <v>0</v>
      </c>
      <c r="E37" s="217">
        <v>4</v>
      </c>
      <c r="F37" s="217">
        <v>1</v>
      </c>
      <c r="G37" s="217">
        <v>1</v>
      </c>
      <c r="H37" s="217">
        <v>3</v>
      </c>
      <c r="I37" s="217">
        <v>3</v>
      </c>
      <c r="J37" s="217">
        <v>3</v>
      </c>
      <c r="K37" s="217">
        <v>1</v>
      </c>
      <c r="L37" s="217">
        <v>1</v>
      </c>
      <c r="M37" s="217">
        <v>3</v>
      </c>
      <c r="N37" s="217">
        <v>2</v>
      </c>
      <c r="O37" s="217">
        <v>3</v>
      </c>
      <c r="P37" s="217">
        <v>3</v>
      </c>
      <c r="Q37" s="217">
        <v>4</v>
      </c>
      <c r="R37" s="217">
        <v>4</v>
      </c>
      <c r="S37" s="217">
        <v>1</v>
      </c>
      <c r="T37" s="217">
        <v>1</v>
      </c>
      <c r="U37" s="217">
        <v>1</v>
      </c>
      <c r="V37" s="217">
        <v>1</v>
      </c>
      <c r="W37" s="217">
        <v>1</v>
      </c>
      <c r="X37" s="217">
        <v>1</v>
      </c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9"/>
      <c r="AU37" s="220"/>
      <c r="AV37" s="221">
        <f>'Form RCI (3)'!AM36</f>
        <v>2.6666666666666665</v>
      </c>
      <c r="AW37" s="219"/>
      <c r="AX37" s="222" t="str">
        <f t="shared" si="1"/>
        <v>ERROR</v>
      </c>
      <c r="AY37" s="239"/>
      <c r="AZ37" s="624" t="s">
        <v>171</v>
      </c>
      <c r="BA37" s="624"/>
      <c r="BB37" s="624"/>
      <c r="BC37" s="624"/>
      <c r="BD37" s="624"/>
      <c r="BE37" s="624"/>
      <c r="BF37" s="624"/>
      <c r="BG37" s="240"/>
      <c r="BH37" s="170" t="str">
        <f t="shared" si="2"/>
        <v>RUSAK BERAT</v>
      </c>
      <c r="BI37" s="234"/>
      <c r="BJ37" s="170" t="str">
        <f t="shared" si="3"/>
        <v>RB</v>
      </c>
      <c r="BK37" s="234"/>
      <c r="BL37" s="233" t="s">
        <v>169</v>
      </c>
      <c r="BM37" s="234"/>
      <c r="BN37" s="233">
        <f t="shared" si="4"/>
        <v>3.3</v>
      </c>
      <c r="BO37" s="226"/>
      <c r="BQ37" s="228">
        <f t="shared" si="5"/>
        <v>0</v>
      </c>
      <c r="BR37" s="228">
        <f t="shared" si="6"/>
        <v>0</v>
      </c>
      <c r="BS37" s="228">
        <f t="shared" si="7"/>
        <v>0</v>
      </c>
      <c r="BT37" s="228">
        <f t="shared" si="8"/>
        <v>0</v>
      </c>
      <c r="BU37" s="229">
        <f t="shared" si="9"/>
        <v>0</v>
      </c>
      <c r="BV37" s="230">
        <f t="shared" si="10"/>
        <v>0</v>
      </c>
      <c r="BW37" s="231" t="str">
        <f t="shared" si="11"/>
        <v/>
      </c>
      <c r="BX37" s="195">
        <v>3.3</v>
      </c>
      <c r="BY37" s="195">
        <v>0.3</v>
      </c>
      <c r="BZ37" s="195">
        <v>0.42</v>
      </c>
      <c r="CA37" s="195" t="s">
        <v>168</v>
      </c>
      <c r="CB37" s="195" t="s">
        <v>168</v>
      </c>
      <c r="CC37" s="195" t="s">
        <v>168</v>
      </c>
      <c r="CD37" s="195" t="s">
        <v>168</v>
      </c>
    </row>
    <row r="38" spans="2:82" s="227" customFormat="1" ht="27.75" customHeight="1" x14ac:dyDescent="0.2">
      <c r="B38" s="174"/>
      <c r="C38" s="174"/>
      <c r="D38" s="216">
        <f t="shared" si="0"/>
        <v>0</v>
      </c>
      <c r="E38" s="217">
        <v>4</v>
      </c>
      <c r="F38" s="217">
        <v>1</v>
      </c>
      <c r="G38" s="217">
        <v>1</v>
      </c>
      <c r="H38" s="217">
        <v>3</v>
      </c>
      <c r="I38" s="217">
        <v>3</v>
      </c>
      <c r="J38" s="217">
        <v>3</v>
      </c>
      <c r="K38" s="217">
        <v>1</v>
      </c>
      <c r="L38" s="217">
        <v>1</v>
      </c>
      <c r="M38" s="217">
        <v>3</v>
      </c>
      <c r="N38" s="217">
        <v>2</v>
      </c>
      <c r="O38" s="217">
        <v>3</v>
      </c>
      <c r="P38" s="217">
        <v>3</v>
      </c>
      <c r="Q38" s="217">
        <v>4</v>
      </c>
      <c r="R38" s="217">
        <v>4</v>
      </c>
      <c r="S38" s="217">
        <v>1</v>
      </c>
      <c r="T38" s="217">
        <v>1</v>
      </c>
      <c r="U38" s="217">
        <v>1</v>
      </c>
      <c r="V38" s="217">
        <v>1</v>
      </c>
      <c r="W38" s="217">
        <v>1</v>
      </c>
      <c r="X38" s="217">
        <v>1</v>
      </c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9"/>
      <c r="AU38" s="220"/>
      <c r="AV38" s="221">
        <f>'Form RCI (3)'!AM37</f>
        <v>2.6666666666666665</v>
      </c>
      <c r="AW38" s="219"/>
      <c r="AX38" s="222" t="str">
        <f t="shared" si="1"/>
        <v>ERROR</v>
      </c>
      <c r="AY38" s="223"/>
      <c r="AZ38" s="624" t="s">
        <v>171</v>
      </c>
      <c r="BA38" s="624"/>
      <c r="BB38" s="624"/>
      <c r="BC38" s="624"/>
      <c r="BD38" s="624"/>
      <c r="BE38" s="624"/>
      <c r="BF38" s="624"/>
      <c r="BG38" s="169"/>
      <c r="BH38" s="170" t="str">
        <f t="shared" si="2"/>
        <v>RUSAK BERAT</v>
      </c>
      <c r="BI38" s="224"/>
      <c r="BJ38" s="170" t="str">
        <f t="shared" si="3"/>
        <v>RB</v>
      </c>
      <c r="BK38" s="224"/>
      <c r="BL38" s="225" t="s">
        <v>169</v>
      </c>
      <c r="BM38" s="224"/>
      <c r="BN38" s="225">
        <f t="shared" si="4"/>
        <v>3.3</v>
      </c>
      <c r="BO38" s="226"/>
      <c r="BQ38" s="228">
        <f t="shared" si="5"/>
        <v>0</v>
      </c>
      <c r="BR38" s="228">
        <f t="shared" si="6"/>
        <v>0</v>
      </c>
      <c r="BS38" s="228">
        <f t="shared" si="7"/>
        <v>0</v>
      </c>
      <c r="BT38" s="228">
        <f t="shared" si="8"/>
        <v>0</v>
      </c>
      <c r="BU38" s="229">
        <f t="shared" si="9"/>
        <v>0</v>
      </c>
      <c r="BV38" s="230">
        <f t="shared" si="10"/>
        <v>0</v>
      </c>
      <c r="BW38" s="231" t="str">
        <f t="shared" si="11"/>
        <v/>
      </c>
      <c r="BX38" s="195">
        <v>3.3</v>
      </c>
      <c r="BY38" s="195">
        <v>0.3</v>
      </c>
      <c r="BZ38" s="195">
        <v>0.42</v>
      </c>
      <c r="CA38" s="195" t="s">
        <v>168</v>
      </c>
      <c r="CB38" s="195" t="s">
        <v>168</v>
      </c>
      <c r="CC38" s="195" t="s">
        <v>168</v>
      </c>
      <c r="CD38" s="195" t="s">
        <v>168</v>
      </c>
    </row>
    <row r="39" spans="2:82" s="227" customFormat="1" ht="27.75" customHeight="1" x14ac:dyDescent="0.2">
      <c r="B39" s="174"/>
      <c r="C39" s="174"/>
      <c r="D39" s="216">
        <f t="shared" si="0"/>
        <v>0</v>
      </c>
      <c r="E39" s="217">
        <v>4</v>
      </c>
      <c r="F39" s="217">
        <v>1</v>
      </c>
      <c r="G39" s="217">
        <v>1</v>
      </c>
      <c r="H39" s="217">
        <v>3</v>
      </c>
      <c r="I39" s="217">
        <v>3</v>
      </c>
      <c r="J39" s="217">
        <v>3</v>
      </c>
      <c r="K39" s="217">
        <v>1</v>
      </c>
      <c r="L39" s="217">
        <v>1</v>
      </c>
      <c r="M39" s="217">
        <v>3</v>
      </c>
      <c r="N39" s="217">
        <v>2</v>
      </c>
      <c r="O39" s="217">
        <v>3</v>
      </c>
      <c r="P39" s="217">
        <v>3</v>
      </c>
      <c r="Q39" s="217">
        <v>4</v>
      </c>
      <c r="R39" s="217">
        <v>4</v>
      </c>
      <c r="S39" s="217">
        <v>1</v>
      </c>
      <c r="T39" s="217">
        <v>1</v>
      </c>
      <c r="U39" s="217">
        <v>1</v>
      </c>
      <c r="V39" s="217">
        <v>1</v>
      </c>
      <c r="W39" s="217">
        <v>1</v>
      </c>
      <c r="X39" s="217">
        <v>1</v>
      </c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9"/>
      <c r="AU39" s="220"/>
      <c r="AV39" s="221">
        <f>'Form RCI (3)'!AM38</f>
        <v>2.6666666666666665</v>
      </c>
      <c r="AW39" s="219"/>
      <c r="AX39" s="222" t="str">
        <f t="shared" si="1"/>
        <v>ERROR</v>
      </c>
      <c r="AY39" s="223"/>
      <c r="AZ39" s="624" t="s">
        <v>171</v>
      </c>
      <c r="BA39" s="624"/>
      <c r="BB39" s="624"/>
      <c r="BC39" s="624"/>
      <c r="BD39" s="624"/>
      <c r="BE39" s="624"/>
      <c r="BF39" s="624"/>
      <c r="BG39" s="169"/>
      <c r="BH39" s="170" t="str">
        <f t="shared" si="2"/>
        <v>RUSAK BERAT</v>
      </c>
      <c r="BI39" s="224"/>
      <c r="BJ39" s="170" t="str">
        <f t="shared" si="3"/>
        <v>RB</v>
      </c>
      <c r="BK39" s="224"/>
      <c r="BL39" s="225" t="s">
        <v>169</v>
      </c>
      <c r="BM39" s="224"/>
      <c r="BN39" s="225">
        <f t="shared" si="4"/>
        <v>3.3</v>
      </c>
      <c r="BO39" s="226"/>
      <c r="BQ39" s="228">
        <f t="shared" si="5"/>
        <v>0</v>
      </c>
      <c r="BR39" s="228">
        <f t="shared" si="6"/>
        <v>0</v>
      </c>
      <c r="BS39" s="228">
        <f t="shared" si="7"/>
        <v>0</v>
      </c>
      <c r="BT39" s="228">
        <f t="shared" si="8"/>
        <v>0</v>
      </c>
      <c r="BU39" s="229">
        <f t="shared" si="9"/>
        <v>0</v>
      </c>
      <c r="BV39" s="230">
        <f t="shared" si="10"/>
        <v>0</v>
      </c>
      <c r="BW39" s="231" t="str">
        <f t="shared" si="11"/>
        <v/>
      </c>
      <c r="BX39" s="195">
        <v>3.3</v>
      </c>
      <c r="BY39" s="195">
        <v>0.3</v>
      </c>
      <c r="BZ39" s="195">
        <v>0.42</v>
      </c>
      <c r="CA39" s="195" t="s">
        <v>168</v>
      </c>
      <c r="CB39" s="195" t="s">
        <v>168</v>
      </c>
      <c r="CC39" s="195" t="s">
        <v>168</v>
      </c>
      <c r="CD39" s="195" t="s">
        <v>168</v>
      </c>
    </row>
    <row r="40" spans="2:82" s="227" customFormat="1" ht="27.75" customHeight="1" x14ac:dyDescent="0.2">
      <c r="B40" s="174"/>
      <c r="C40" s="174"/>
      <c r="D40" s="216">
        <f t="shared" si="0"/>
        <v>0</v>
      </c>
      <c r="E40" s="217">
        <v>4</v>
      </c>
      <c r="F40" s="217">
        <v>1</v>
      </c>
      <c r="G40" s="217">
        <v>1</v>
      </c>
      <c r="H40" s="217">
        <v>3</v>
      </c>
      <c r="I40" s="217">
        <v>3</v>
      </c>
      <c r="J40" s="217">
        <v>3</v>
      </c>
      <c r="K40" s="217">
        <v>1</v>
      </c>
      <c r="L40" s="217">
        <v>1</v>
      </c>
      <c r="M40" s="217">
        <v>3</v>
      </c>
      <c r="N40" s="217">
        <v>2</v>
      </c>
      <c r="O40" s="217">
        <v>3</v>
      </c>
      <c r="P40" s="217">
        <v>3</v>
      </c>
      <c r="Q40" s="217">
        <v>4</v>
      </c>
      <c r="R40" s="217">
        <v>4</v>
      </c>
      <c r="S40" s="217">
        <v>1</v>
      </c>
      <c r="T40" s="217">
        <v>1</v>
      </c>
      <c r="U40" s="217">
        <v>1</v>
      </c>
      <c r="V40" s="217">
        <v>1</v>
      </c>
      <c r="W40" s="217">
        <v>1</v>
      </c>
      <c r="X40" s="217">
        <v>1</v>
      </c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9"/>
      <c r="AU40" s="220"/>
      <c r="AV40" s="221">
        <f>'Form RCI (3)'!AM39</f>
        <v>2.6666666666666665</v>
      </c>
      <c r="AW40" s="219"/>
      <c r="AX40" s="222" t="str">
        <f t="shared" si="1"/>
        <v>ERROR</v>
      </c>
      <c r="AY40" s="223"/>
      <c r="AZ40" s="624" t="s">
        <v>171</v>
      </c>
      <c r="BA40" s="624"/>
      <c r="BB40" s="624"/>
      <c r="BC40" s="624"/>
      <c r="BD40" s="624"/>
      <c r="BE40" s="624"/>
      <c r="BF40" s="624"/>
      <c r="BG40" s="169"/>
      <c r="BH40" s="170" t="str">
        <f t="shared" si="2"/>
        <v>RUSAK BERAT</v>
      </c>
      <c r="BI40" s="224"/>
      <c r="BJ40" s="170" t="str">
        <f t="shared" si="3"/>
        <v>RB</v>
      </c>
      <c r="BK40" s="224"/>
      <c r="BL40" s="225" t="s">
        <v>169</v>
      </c>
      <c r="BM40" s="224"/>
      <c r="BN40" s="225">
        <f t="shared" si="4"/>
        <v>3.3</v>
      </c>
      <c r="BO40" s="226"/>
      <c r="BQ40" s="228">
        <f t="shared" si="5"/>
        <v>0</v>
      </c>
      <c r="BR40" s="228">
        <f t="shared" si="6"/>
        <v>0</v>
      </c>
      <c r="BS40" s="228">
        <f t="shared" si="7"/>
        <v>0</v>
      </c>
      <c r="BT40" s="228">
        <f t="shared" si="8"/>
        <v>0</v>
      </c>
      <c r="BU40" s="229">
        <f t="shared" si="9"/>
        <v>0</v>
      </c>
      <c r="BV40" s="230">
        <f t="shared" si="10"/>
        <v>0</v>
      </c>
      <c r="BW40" s="231" t="str">
        <f t="shared" si="11"/>
        <v/>
      </c>
      <c r="BX40" s="195">
        <v>3.3</v>
      </c>
      <c r="BY40" s="195">
        <v>0.3</v>
      </c>
      <c r="BZ40" s="195">
        <v>0.42</v>
      </c>
      <c r="CA40" s="195" t="s">
        <v>168</v>
      </c>
      <c r="CB40" s="195" t="s">
        <v>168</v>
      </c>
      <c r="CC40" s="195" t="s">
        <v>168</v>
      </c>
      <c r="CD40" s="195" t="s">
        <v>168</v>
      </c>
    </row>
    <row r="41" spans="2:82" s="227" customFormat="1" ht="27.75" customHeight="1" x14ac:dyDescent="0.2">
      <c r="B41" s="174"/>
      <c r="C41" s="174"/>
      <c r="D41" s="216">
        <f t="shared" si="0"/>
        <v>0</v>
      </c>
      <c r="E41" s="217">
        <v>4</v>
      </c>
      <c r="F41" s="217">
        <v>1</v>
      </c>
      <c r="G41" s="217">
        <v>1</v>
      </c>
      <c r="H41" s="217">
        <v>3</v>
      </c>
      <c r="I41" s="217">
        <v>3</v>
      </c>
      <c r="J41" s="217">
        <v>3</v>
      </c>
      <c r="K41" s="217">
        <v>1</v>
      </c>
      <c r="L41" s="217">
        <v>1</v>
      </c>
      <c r="M41" s="217">
        <v>3</v>
      </c>
      <c r="N41" s="217">
        <v>2</v>
      </c>
      <c r="O41" s="217">
        <v>3</v>
      </c>
      <c r="P41" s="217">
        <v>3</v>
      </c>
      <c r="Q41" s="217">
        <v>4</v>
      </c>
      <c r="R41" s="217">
        <v>4</v>
      </c>
      <c r="S41" s="217">
        <v>1</v>
      </c>
      <c r="T41" s="217">
        <v>1</v>
      </c>
      <c r="U41" s="217">
        <v>1</v>
      </c>
      <c r="V41" s="217">
        <v>1</v>
      </c>
      <c r="W41" s="217">
        <v>1</v>
      </c>
      <c r="X41" s="217">
        <v>1</v>
      </c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9"/>
      <c r="AU41" s="220"/>
      <c r="AV41" s="221">
        <f>'Form RCI (3)'!AM40</f>
        <v>2.6666666666666665</v>
      </c>
      <c r="AW41" s="219"/>
      <c r="AX41" s="222" t="str">
        <f t="shared" si="1"/>
        <v>ERROR</v>
      </c>
      <c r="AY41" s="223"/>
      <c r="AZ41" s="624" t="s">
        <v>171</v>
      </c>
      <c r="BA41" s="624"/>
      <c r="BB41" s="624"/>
      <c r="BC41" s="624"/>
      <c r="BD41" s="624"/>
      <c r="BE41" s="624"/>
      <c r="BF41" s="624"/>
      <c r="BG41" s="169"/>
      <c r="BH41" s="170" t="str">
        <f t="shared" si="2"/>
        <v>RUSAK BERAT</v>
      </c>
      <c r="BI41" s="224"/>
      <c r="BJ41" s="170" t="str">
        <f t="shared" si="3"/>
        <v>RB</v>
      </c>
      <c r="BK41" s="224"/>
      <c r="BL41" s="225" t="s">
        <v>169</v>
      </c>
      <c r="BM41" s="224"/>
      <c r="BN41" s="225">
        <f t="shared" si="4"/>
        <v>3.3</v>
      </c>
      <c r="BO41" s="226"/>
      <c r="BQ41" s="228">
        <f t="shared" si="5"/>
        <v>0</v>
      </c>
      <c r="BR41" s="228">
        <f t="shared" si="6"/>
        <v>0</v>
      </c>
      <c r="BS41" s="228">
        <f t="shared" si="7"/>
        <v>0</v>
      </c>
      <c r="BT41" s="228">
        <f t="shared" si="8"/>
        <v>0</v>
      </c>
      <c r="BU41" s="229">
        <f t="shared" si="9"/>
        <v>0</v>
      </c>
      <c r="BV41" s="230">
        <f t="shared" si="10"/>
        <v>0</v>
      </c>
      <c r="BW41" s="231" t="str">
        <f t="shared" si="11"/>
        <v/>
      </c>
      <c r="BX41" s="195">
        <v>3.3</v>
      </c>
      <c r="BY41" s="195">
        <v>0.3</v>
      </c>
      <c r="BZ41" s="195">
        <v>0.42</v>
      </c>
      <c r="CA41" s="195" t="s">
        <v>168</v>
      </c>
      <c r="CB41" s="195" t="s">
        <v>168</v>
      </c>
      <c r="CC41" s="195" t="s">
        <v>168</v>
      </c>
      <c r="CD41" s="195" t="s">
        <v>168</v>
      </c>
    </row>
    <row r="42" spans="2:82" s="227" customFormat="1" ht="27.75" customHeight="1" x14ac:dyDescent="0.2">
      <c r="B42" s="174"/>
      <c r="C42" s="174"/>
      <c r="D42" s="216">
        <f t="shared" ref="D42:D45" si="12">C42-B42</f>
        <v>0</v>
      </c>
      <c r="E42" s="217">
        <v>4</v>
      </c>
      <c r="F42" s="217">
        <v>1</v>
      </c>
      <c r="G42" s="217">
        <v>1</v>
      </c>
      <c r="H42" s="217">
        <v>3</v>
      </c>
      <c r="I42" s="217">
        <v>3</v>
      </c>
      <c r="J42" s="217">
        <v>3</v>
      </c>
      <c r="K42" s="217">
        <v>1</v>
      </c>
      <c r="L42" s="217">
        <v>1</v>
      </c>
      <c r="M42" s="217">
        <v>3</v>
      </c>
      <c r="N42" s="217">
        <v>2</v>
      </c>
      <c r="O42" s="217">
        <v>3</v>
      </c>
      <c r="P42" s="217">
        <v>3</v>
      </c>
      <c r="Q42" s="217">
        <v>4</v>
      </c>
      <c r="R42" s="217">
        <v>4</v>
      </c>
      <c r="S42" s="217">
        <v>1</v>
      </c>
      <c r="T42" s="217">
        <v>1</v>
      </c>
      <c r="U42" s="217">
        <v>1</v>
      </c>
      <c r="V42" s="217">
        <v>1</v>
      </c>
      <c r="W42" s="217">
        <v>1</v>
      </c>
      <c r="X42" s="217">
        <v>1</v>
      </c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9"/>
      <c r="AU42" s="220"/>
      <c r="AV42" s="221">
        <f>'Form RCI (3)'!AM41</f>
        <v>2.6666666666666665</v>
      </c>
      <c r="AW42" s="219"/>
      <c r="AX42" s="222" t="str">
        <f t="shared" ref="AX42:AX45" si="13">IF(OR((SUM(Y42:AT42)+AW42)&gt;0,D42&lt;=0),"ERROR","OK")</f>
        <v>ERROR</v>
      </c>
      <c r="AY42" s="223"/>
      <c r="AZ42" s="624" t="s">
        <v>171</v>
      </c>
      <c r="BA42" s="624"/>
      <c r="BB42" s="624"/>
      <c r="BC42" s="624"/>
      <c r="BD42" s="624"/>
      <c r="BE42" s="624"/>
      <c r="BF42" s="624"/>
      <c r="BG42" s="169"/>
      <c r="BH42" s="170" t="str">
        <f t="shared" ref="BH42:BH45" si="14">IF(BJ42="B","BAIK",IF(BJ42="S","SEDANG",IF(BJ42="RR","RUSAK RINGAN",IF(BJ42="RB","RUSAK BERAT","DATA SALAH"))))</f>
        <v>RUSAK BERAT</v>
      </c>
      <c r="BI42" s="224"/>
      <c r="BJ42" s="170" t="str">
        <f t="shared" ref="BJ42:BJ45" si="15">IF(AV42&lt;3,"RB",IF(AV42&lt;4,"RR",IF(AV42&lt;5,"S","B")))</f>
        <v>RB</v>
      </c>
      <c r="BK42" s="224"/>
      <c r="BL42" s="225" t="s">
        <v>169</v>
      </c>
      <c r="BM42" s="224"/>
      <c r="BN42" s="225">
        <f t="shared" ref="BN42:BN45" si="16">BX42</f>
        <v>3.3</v>
      </c>
      <c r="BO42" s="226"/>
      <c r="BQ42" s="228">
        <f t="shared" ref="BQ42:BQ45" si="17">IF(BJ42="B",D42,0)</f>
        <v>0</v>
      </c>
      <c r="BR42" s="228">
        <f t="shared" ref="BR42:BR45" si="18">IF(BJ42="S",D42,0)</f>
        <v>0</v>
      </c>
      <c r="BS42" s="228">
        <f t="shared" ref="BS42:BS45" si="19">IF(BJ42="RR",D42,0)</f>
        <v>0</v>
      </c>
      <c r="BT42" s="228">
        <f t="shared" ref="BT42:BT45" si="20">IF(BJ42="RB",D42,0)</f>
        <v>0</v>
      </c>
      <c r="BU42" s="229">
        <f t="shared" ref="BU42:BU45" si="21">BQ42+BR42</f>
        <v>0</v>
      </c>
      <c r="BV42" s="230">
        <f t="shared" ref="BV42:BV45" si="22">BS42+BT42</f>
        <v>0</v>
      </c>
      <c r="BW42" s="231" t="str">
        <f t="shared" ref="BW42:BW45" si="23">IF(AND((BQ42+BR42)&gt;0,(BS42+BT42)=0),"Pemeliharaan Rutin",IF(AND((BQ42+BR42+BT42)=0,BS42&gt;0),"Pemeliharaan Berkala", IF(AND((BQ42+BR42+BS42)=0,BT42&gt;0),"Peningkatan/Rekonstruksi","")))</f>
        <v/>
      </c>
      <c r="BX42" s="195">
        <v>3.3</v>
      </c>
      <c r="BY42" s="195">
        <v>0.3</v>
      </c>
      <c r="BZ42" s="195">
        <v>0.42</v>
      </c>
      <c r="CA42" s="195" t="s">
        <v>168</v>
      </c>
      <c r="CB42" s="195" t="s">
        <v>168</v>
      </c>
      <c r="CC42" s="195" t="s">
        <v>168</v>
      </c>
      <c r="CD42" s="195" t="s">
        <v>168</v>
      </c>
    </row>
    <row r="43" spans="2:82" s="227" customFormat="1" ht="27.75" customHeight="1" x14ac:dyDescent="0.2">
      <c r="B43" s="174"/>
      <c r="C43" s="174"/>
      <c r="D43" s="216">
        <f t="shared" si="12"/>
        <v>0</v>
      </c>
      <c r="E43" s="217">
        <v>4</v>
      </c>
      <c r="F43" s="217">
        <v>1</v>
      </c>
      <c r="G43" s="217">
        <v>1</v>
      </c>
      <c r="H43" s="217">
        <v>3</v>
      </c>
      <c r="I43" s="217">
        <v>3</v>
      </c>
      <c r="J43" s="217">
        <v>3</v>
      </c>
      <c r="K43" s="217">
        <v>1</v>
      </c>
      <c r="L43" s="217">
        <v>1</v>
      </c>
      <c r="M43" s="217">
        <v>3</v>
      </c>
      <c r="N43" s="217">
        <v>2</v>
      </c>
      <c r="O43" s="217">
        <v>3</v>
      </c>
      <c r="P43" s="217">
        <v>3</v>
      </c>
      <c r="Q43" s="217">
        <v>4</v>
      </c>
      <c r="R43" s="217">
        <v>4</v>
      </c>
      <c r="S43" s="217">
        <v>1</v>
      </c>
      <c r="T43" s="217">
        <v>1</v>
      </c>
      <c r="U43" s="217">
        <v>1</v>
      </c>
      <c r="V43" s="217">
        <v>1</v>
      </c>
      <c r="W43" s="217">
        <v>1</v>
      </c>
      <c r="X43" s="217">
        <v>1</v>
      </c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9"/>
      <c r="AU43" s="220"/>
      <c r="AV43" s="221">
        <f>'Form RCI (3)'!AM42</f>
        <v>2.6666666666666665</v>
      </c>
      <c r="AW43" s="219"/>
      <c r="AX43" s="222" t="str">
        <f t="shared" si="13"/>
        <v>ERROR</v>
      </c>
      <c r="AY43" s="223"/>
      <c r="AZ43" s="624" t="s">
        <v>171</v>
      </c>
      <c r="BA43" s="624"/>
      <c r="BB43" s="624"/>
      <c r="BC43" s="624"/>
      <c r="BD43" s="624"/>
      <c r="BE43" s="624"/>
      <c r="BF43" s="624"/>
      <c r="BG43" s="169"/>
      <c r="BH43" s="170" t="str">
        <f t="shared" si="14"/>
        <v>RUSAK BERAT</v>
      </c>
      <c r="BI43" s="224"/>
      <c r="BJ43" s="170" t="str">
        <f t="shared" si="15"/>
        <v>RB</v>
      </c>
      <c r="BK43" s="224"/>
      <c r="BL43" s="225" t="s">
        <v>169</v>
      </c>
      <c r="BM43" s="224"/>
      <c r="BN43" s="225">
        <f t="shared" si="16"/>
        <v>3.3</v>
      </c>
      <c r="BO43" s="226"/>
      <c r="BQ43" s="228">
        <f t="shared" si="17"/>
        <v>0</v>
      </c>
      <c r="BR43" s="228">
        <f t="shared" si="18"/>
        <v>0</v>
      </c>
      <c r="BS43" s="228">
        <f t="shared" si="19"/>
        <v>0</v>
      </c>
      <c r="BT43" s="228">
        <f t="shared" si="20"/>
        <v>0</v>
      </c>
      <c r="BU43" s="229">
        <f t="shared" si="21"/>
        <v>0</v>
      </c>
      <c r="BV43" s="230">
        <f t="shared" si="22"/>
        <v>0</v>
      </c>
      <c r="BW43" s="231" t="str">
        <f t="shared" si="23"/>
        <v/>
      </c>
      <c r="BX43" s="195">
        <v>3.3</v>
      </c>
      <c r="BY43" s="195">
        <v>0.3</v>
      </c>
      <c r="BZ43" s="195">
        <v>0.42</v>
      </c>
      <c r="CA43" s="195" t="s">
        <v>168</v>
      </c>
      <c r="CB43" s="195" t="s">
        <v>168</v>
      </c>
      <c r="CC43" s="195" t="s">
        <v>168</v>
      </c>
      <c r="CD43" s="195" t="s">
        <v>168</v>
      </c>
    </row>
    <row r="44" spans="2:82" s="227" customFormat="1" ht="27.75" customHeight="1" x14ac:dyDescent="0.2">
      <c r="B44" s="174"/>
      <c r="C44" s="174"/>
      <c r="D44" s="216">
        <f t="shared" si="12"/>
        <v>0</v>
      </c>
      <c r="E44" s="217">
        <v>4</v>
      </c>
      <c r="F44" s="217">
        <v>1</v>
      </c>
      <c r="G44" s="217">
        <v>1</v>
      </c>
      <c r="H44" s="217">
        <v>3</v>
      </c>
      <c r="I44" s="217">
        <v>3</v>
      </c>
      <c r="J44" s="217">
        <v>3</v>
      </c>
      <c r="K44" s="217">
        <v>1</v>
      </c>
      <c r="L44" s="217">
        <v>1</v>
      </c>
      <c r="M44" s="217">
        <v>3</v>
      </c>
      <c r="N44" s="217">
        <v>2</v>
      </c>
      <c r="O44" s="217">
        <v>3</v>
      </c>
      <c r="P44" s="217">
        <v>3</v>
      </c>
      <c r="Q44" s="217">
        <v>4</v>
      </c>
      <c r="R44" s="217">
        <v>4</v>
      </c>
      <c r="S44" s="217">
        <v>1</v>
      </c>
      <c r="T44" s="217">
        <v>1</v>
      </c>
      <c r="U44" s="217">
        <v>1</v>
      </c>
      <c r="V44" s="217">
        <v>1</v>
      </c>
      <c r="W44" s="217">
        <v>1</v>
      </c>
      <c r="X44" s="217">
        <v>1</v>
      </c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9"/>
      <c r="AU44" s="220"/>
      <c r="AV44" s="221">
        <f>'Form RCI (3)'!AM43</f>
        <v>2.6666666666666665</v>
      </c>
      <c r="AW44" s="219"/>
      <c r="AX44" s="222" t="str">
        <f t="shared" si="13"/>
        <v>ERROR</v>
      </c>
      <c r="AY44" s="223"/>
      <c r="AZ44" s="624" t="s">
        <v>171</v>
      </c>
      <c r="BA44" s="624"/>
      <c r="BB44" s="624"/>
      <c r="BC44" s="624"/>
      <c r="BD44" s="624"/>
      <c r="BE44" s="624"/>
      <c r="BF44" s="624"/>
      <c r="BG44" s="169"/>
      <c r="BH44" s="170" t="str">
        <f t="shared" si="14"/>
        <v>RUSAK BERAT</v>
      </c>
      <c r="BI44" s="224"/>
      <c r="BJ44" s="170" t="str">
        <f t="shared" si="15"/>
        <v>RB</v>
      </c>
      <c r="BK44" s="224"/>
      <c r="BL44" s="225" t="s">
        <v>169</v>
      </c>
      <c r="BM44" s="224"/>
      <c r="BN44" s="225">
        <f t="shared" si="16"/>
        <v>3.3</v>
      </c>
      <c r="BO44" s="226"/>
      <c r="BQ44" s="228">
        <f t="shared" si="17"/>
        <v>0</v>
      </c>
      <c r="BR44" s="228">
        <f t="shared" si="18"/>
        <v>0</v>
      </c>
      <c r="BS44" s="228">
        <f t="shared" si="19"/>
        <v>0</v>
      </c>
      <c r="BT44" s="228">
        <f t="shared" si="20"/>
        <v>0</v>
      </c>
      <c r="BU44" s="229">
        <f t="shared" si="21"/>
        <v>0</v>
      </c>
      <c r="BV44" s="230">
        <f t="shared" si="22"/>
        <v>0</v>
      </c>
      <c r="BW44" s="231" t="str">
        <f t="shared" si="23"/>
        <v/>
      </c>
      <c r="BX44" s="195">
        <v>3.3</v>
      </c>
      <c r="BY44" s="195">
        <v>0.3</v>
      </c>
      <c r="BZ44" s="195">
        <v>0.42</v>
      </c>
      <c r="CA44" s="195" t="s">
        <v>168</v>
      </c>
      <c r="CB44" s="195" t="s">
        <v>168</v>
      </c>
      <c r="CC44" s="195" t="s">
        <v>168</v>
      </c>
      <c r="CD44" s="195" t="s">
        <v>168</v>
      </c>
    </row>
    <row r="45" spans="2:82" s="227" customFormat="1" ht="27.75" customHeight="1" x14ac:dyDescent="0.2">
      <c r="B45" s="174"/>
      <c r="C45" s="174"/>
      <c r="D45" s="216">
        <f t="shared" si="12"/>
        <v>0</v>
      </c>
      <c r="E45" s="217">
        <v>4</v>
      </c>
      <c r="F45" s="217">
        <v>1</v>
      </c>
      <c r="G45" s="217">
        <v>1</v>
      </c>
      <c r="H45" s="217">
        <v>3</v>
      </c>
      <c r="I45" s="217">
        <v>3</v>
      </c>
      <c r="J45" s="217">
        <v>3</v>
      </c>
      <c r="K45" s="217">
        <v>1</v>
      </c>
      <c r="L45" s="217">
        <v>1</v>
      </c>
      <c r="M45" s="217">
        <v>3</v>
      </c>
      <c r="N45" s="217">
        <v>2</v>
      </c>
      <c r="O45" s="217">
        <v>3</v>
      </c>
      <c r="P45" s="217">
        <v>3</v>
      </c>
      <c r="Q45" s="217">
        <v>4</v>
      </c>
      <c r="R45" s="217">
        <v>4</v>
      </c>
      <c r="S45" s="217">
        <v>1</v>
      </c>
      <c r="T45" s="217">
        <v>1</v>
      </c>
      <c r="U45" s="217">
        <v>1</v>
      </c>
      <c r="V45" s="217">
        <v>1</v>
      </c>
      <c r="W45" s="217">
        <v>1</v>
      </c>
      <c r="X45" s="217">
        <v>1</v>
      </c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9"/>
      <c r="AU45" s="220"/>
      <c r="AV45" s="221">
        <f>'Form RCI (3)'!AM44</f>
        <v>2.6666666666666665</v>
      </c>
      <c r="AW45" s="219"/>
      <c r="AX45" s="222" t="str">
        <f t="shared" si="13"/>
        <v>ERROR</v>
      </c>
      <c r="AY45" s="223"/>
      <c r="AZ45" s="624" t="s">
        <v>171</v>
      </c>
      <c r="BA45" s="624"/>
      <c r="BB45" s="624"/>
      <c r="BC45" s="624"/>
      <c r="BD45" s="624"/>
      <c r="BE45" s="624"/>
      <c r="BF45" s="624"/>
      <c r="BG45" s="169"/>
      <c r="BH45" s="170" t="str">
        <f t="shared" si="14"/>
        <v>RUSAK BERAT</v>
      </c>
      <c r="BI45" s="224"/>
      <c r="BJ45" s="170" t="str">
        <f t="shared" si="15"/>
        <v>RB</v>
      </c>
      <c r="BK45" s="224"/>
      <c r="BL45" s="225" t="s">
        <v>169</v>
      </c>
      <c r="BM45" s="224"/>
      <c r="BN45" s="225">
        <f t="shared" si="16"/>
        <v>3.3</v>
      </c>
      <c r="BO45" s="226"/>
      <c r="BQ45" s="228">
        <f t="shared" si="17"/>
        <v>0</v>
      </c>
      <c r="BR45" s="228">
        <f t="shared" si="18"/>
        <v>0</v>
      </c>
      <c r="BS45" s="228">
        <f t="shared" si="19"/>
        <v>0</v>
      </c>
      <c r="BT45" s="228">
        <f t="shared" si="20"/>
        <v>0</v>
      </c>
      <c r="BU45" s="229">
        <f t="shared" si="21"/>
        <v>0</v>
      </c>
      <c r="BV45" s="230">
        <f t="shared" si="22"/>
        <v>0</v>
      </c>
      <c r="BW45" s="231" t="str">
        <f t="shared" si="23"/>
        <v/>
      </c>
      <c r="BX45" s="195">
        <v>3.3</v>
      </c>
      <c r="BY45" s="195">
        <v>0.3</v>
      </c>
      <c r="BZ45" s="195">
        <v>0.42</v>
      </c>
      <c r="CA45" s="195" t="s">
        <v>168</v>
      </c>
      <c r="CB45" s="195" t="s">
        <v>168</v>
      </c>
      <c r="CC45" s="195" t="s">
        <v>168</v>
      </c>
      <c r="CD45" s="195" t="s">
        <v>168</v>
      </c>
    </row>
    <row r="46" spans="2:82" ht="14.25" x14ac:dyDescent="0.2">
      <c r="AZ46" s="625"/>
      <c r="BA46" s="625"/>
      <c r="BB46" s="625"/>
      <c r="BC46" s="625"/>
      <c r="BD46" s="625"/>
      <c r="BE46" s="625"/>
      <c r="BF46" s="625"/>
      <c r="BG46" s="160"/>
      <c r="BH46" s="162"/>
      <c r="BI46" s="163"/>
      <c r="BJ46" s="162"/>
      <c r="BK46" s="153"/>
      <c r="BL46" s="164"/>
      <c r="BM46" s="153"/>
      <c r="BN46" s="164"/>
      <c r="BQ46" s="161">
        <f t="shared" ref="BQ46:BV46" si="24">SUM(BQ11:BQ45)</f>
        <v>0</v>
      </c>
      <c r="BR46" s="167">
        <f t="shared" si="24"/>
        <v>0</v>
      </c>
      <c r="BS46" s="167">
        <f t="shared" si="24"/>
        <v>0</v>
      </c>
      <c r="BT46" s="167">
        <f t="shared" si="24"/>
        <v>0</v>
      </c>
      <c r="BU46" s="167">
        <f t="shared" si="24"/>
        <v>0</v>
      </c>
      <c r="BV46" s="167">
        <f t="shared" si="24"/>
        <v>0</v>
      </c>
      <c r="BX46" s="86"/>
      <c r="BY46" s="86"/>
      <c r="BZ46" s="86"/>
      <c r="CA46" s="86"/>
      <c r="CB46" s="86"/>
      <c r="CC46" s="86"/>
      <c r="CD46" s="86"/>
    </row>
    <row r="47" spans="2:82" ht="14.25" x14ac:dyDescent="0.2">
      <c r="AZ47" s="625"/>
      <c r="BA47" s="625"/>
      <c r="BB47" s="625"/>
      <c r="BC47" s="625"/>
      <c r="BD47" s="625"/>
      <c r="BE47" s="625"/>
      <c r="BF47" s="625"/>
      <c r="BG47" s="160"/>
      <c r="BH47" s="162"/>
      <c r="BI47" s="163"/>
      <c r="BJ47" s="162"/>
      <c r="BK47" s="153"/>
      <c r="BL47" s="164"/>
      <c r="BM47" s="153"/>
      <c r="BN47" s="164"/>
      <c r="BX47" s="86"/>
      <c r="BY47" s="86"/>
      <c r="BZ47" s="86"/>
      <c r="CA47" s="86"/>
      <c r="CB47" s="86"/>
      <c r="CC47" s="86"/>
      <c r="CD47" s="86"/>
    </row>
    <row r="48" spans="2:82" ht="14.25" x14ac:dyDescent="0.2">
      <c r="AZ48" s="625"/>
      <c r="BA48" s="625"/>
      <c r="BB48" s="625"/>
      <c r="BC48" s="625"/>
      <c r="BD48" s="625"/>
      <c r="BE48" s="625"/>
      <c r="BF48" s="625"/>
      <c r="BG48" s="160"/>
      <c r="BH48" s="162"/>
      <c r="BI48" s="163"/>
      <c r="BJ48" s="162"/>
      <c r="BK48" s="153"/>
      <c r="BL48" s="164"/>
      <c r="BM48" s="153"/>
      <c r="BN48" s="164"/>
      <c r="BW48" s="161" t="s">
        <v>58</v>
      </c>
    </row>
    <row r="49" spans="52:75" ht="14.25" x14ac:dyDescent="0.2">
      <c r="AZ49" s="625"/>
      <c r="BA49" s="625"/>
      <c r="BB49" s="625"/>
      <c r="BC49" s="625"/>
      <c r="BD49" s="625"/>
      <c r="BE49" s="625"/>
      <c r="BF49" s="625"/>
      <c r="BG49" s="160"/>
      <c r="BH49" s="162"/>
      <c r="BI49" s="163"/>
      <c r="BJ49" s="162"/>
      <c r="BK49" s="153"/>
      <c r="BL49" s="164"/>
      <c r="BM49" s="153"/>
      <c r="BN49" s="164"/>
      <c r="BT49" s="626" t="s">
        <v>184</v>
      </c>
      <c r="BU49" s="627"/>
      <c r="BW49" s="161">
        <f>SUM(BU46:BV46)</f>
        <v>0</v>
      </c>
    </row>
    <row r="50" spans="52:75" ht="14.25" x14ac:dyDescent="0.2">
      <c r="AZ50" s="625"/>
      <c r="BA50" s="625"/>
      <c r="BB50" s="625"/>
      <c r="BC50" s="625"/>
      <c r="BD50" s="625"/>
      <c r="BE50" s="625"/>
      <c r="BF50" s="625"/>
      <c r="BG50" s="160"/>
      <c r="BH50" s="162"/>
      <c r="BI50" s="163"/>
      <c r="BJ50" s="162"/>
      <c r="BK50" s="153"/>
      <c r="BL50" s="164"/>
      <c r="BM50" s="153"/>
      <c r="BN50" s="164"/>
      <c r="BT50" s="161" t="s">
        <v>169</v>
      </c>
      <c r="BU50" s="165">
        <f>BW49</f>
        <v>0</v>
      </c>
    </row>
    <row r="51" spans="52:75" ht="14.25" x14ac:dyDescent="0.2">
      <c r="AZ51" s="625"/>
      <c r="BA51" s="625"/>
      <c r="BB51" s="625"/>
      <c r="BC51" s="625"/>
      <c r="BD51" s="625"/>
      <c r="BE51" s="625"/>
      <c r="BF51" s="625"/>
      <c r="BG51" s="160"/>
      <c r="BH51" s="162"/>
      <c r="BI51" s="163"/>
      <c r="BJ51" s="162"/>
      <c r="BK51" s="153"/>
      <c r="BL51" s="164"/>
      <c r="BM51" s="153"/>
      <c r="BN51" s="164"/>
      <c r="BT51" s="161" t="s">
        <v>185</v>
      </c>
      <c r="BU51" s="165"/>
    </row>
    <row r="52" spans="52:75" ht="14.25" x14ac:dyDescent="0.2">
      <c r="AZ52" s="625"/>
      <c r="BA52" s="625"/>
      <c r="BB52" s="625"/>
      <c r="BC52" s="625"/>
      <c r="BD52" s="625"/>
      <c r="BE52" s="625"/>
      <c r="BF52" s="625"/>
      <c r="BG52" s="160"/>
      <c r="BH52" s="162"/>
      <c r="BI52" s="163"/>
      <c r="BJ52" s="162"/>
      <c r="BK52" s="153"/>
      <c r="BL52" s="164"/>
      <c r="BM52" s="153"/>
      <c r="BN52" s="164"/>
    </row>
  </sheetData>
  <mergeCells count="94">
    <mergeCell ref="D2:M2"/>
    <mergeCell ref="D3:M3"/>
    <mergeCell ref="D4:M4"/>
    <mergeCell ref="E6:X6"/>
    <mergeCell ref="AZ6:BF7"/>
    <mergeCell ref="BY6:BZ6"/>
    <mergeCell ref="AX7:AX10"/>
    <mergeCell ref="BN7:BN10"/>
    <mergeCell ref="BQ7:BT7"/>
    <mergeCell ref="BU7:BV7"/>
    <mergeCell ref="BQ8:BT8"/>
    <mergeCell ref="CA6:CD6"/>
    <mergeCell ref="B7:C8"/>
    <mergeCell ref="D7:D10"/>
    <mergeCell ref="E7:G7"/>
    <mergeCell ref="H7:J7"/>
    <mergeCell ref="K7:N7"/>
    <mergeCell ref="O7:X7"/>
    <mergeCell ref="Y7:AT7"/>
    <mergeCell ref="AV7:AV10"/>
    <mergeCell ref="AW7:AW10"/>
    <mergeCell ref="Q8:R8"/>
    <mergeCell ref="S8:T8"/>
    <mergeCell ref="U8:V8"/>
    <mergeCell ref="CA7:CB7"/>
    <mergeCell ref="CC7:CD7"/>
    <mergeCell ref="E8:E9"/>
    <mergeCell ref="F8:F9"/>
    <mergeCell ref="G8:G9"/>
    <mergeCell ref="H8:H9"/>
    <mergeCell ref="I8:I9"/>
    <mergeCell ref="J8:J9"/>
    <mergeCell ref="K8:K9"/>
    <mergeCell ref="L8:L9"/>
    <mergeCell ref="BU8:BV8"/>
    <mergeCell ref="B9:B10"/>
    <mergeCell ref="C9:C10"/>
    <mergeCell ref="BQ9:BQ10"/>
    <mergeCell ref="BR9:BR10"/>
    <mergeCell ref="BS9:BS10"/>
    <mergeCell ref="BT9:BT10"/>
    <mergeCell ref="BU9:BU10"/>
    <mergeCell ref="BV9:BV10"/>
    <mergeCell ref="W8:X8"/>
    <mergeCell ref="Y8:AT10"/>
    <mergeCell ref="AZ8:BB10"/>
    <mergeCell ref="BC8:BC10"/>
    <mergeCell ref="BD8:BF10"/>
    <mergeCell ref="M8:M9"/>
    <mergeCell ref="N8:N9"/>
    <mergeCell ref="O8:P8"/>
    <mergeCell ref="AZ46:BF46"/>
    <mergeCell ref="AZ47:BF47"/>
    <mergeCell ref="AZ26:BF26"/>
    <mergeCell ref="AZ27:BF27"/>
    <mergeCell ref="AZ28:BF28"/>
    <mergeCell ref="AZ29:BF29"/>
    <mergeCell ref="AZ30:BF30"/>
    <mergeCell ref="AZ31:BF31"/>
    <mergeCell ref="AZ32:BF32"/>
    <mergeCell ref="AZ33:BF33"/>
    <mergeCell ref="AZ34:BF34"/>
    <mergeCell ref="AZ35:BF35"/>
    <mergeCell ref="AZ36:BF36"/>
    <mergeCell ref="AZ48:BF48"/>
    <mergeCell ref="AZ49:BF49"/>
    <mergeCell ref="BT49:BU49"/>
    <mergeCell ref="AZ50:BF50"/>
    <mergeCell ref="AZ51:BF51"/>
    <mergeCell ref="AZ52:BF52"/>
    <mergeCell ref="AZ11:BF11"/>
    <mergeCell ref="AZ12:BF12"/>
    <mergeCell ref="AZ13:BF13"/>
    <mergeCell ref="AZ14:BF14"/>
    <mergeCell ref="AZ15:BF15"/>
    <mergeCell ref="AZ16:BF16"/>
    <mergeCell ref="AZ17:BF17"/>
    <mergeCell ref="AZ18:BF18"/>
    <mergeCell ref="AZ19:BF19"/>
    <mergeCell ref="AZ20:BF20"/>
    <mergeCell ref="AZ21:BF21"/>
    <mergeCell ref="AZ22:BF22"/>
    <mergeCell ref="AZ23:BF23"/>
    <mergeCell ref="AZ24:BF24"/>
    <mergeCell ref="AZ25:BF25"/>
    <mergeCell ref="AZ42:BF42"/>
    <mergeCell ref="AZ43:BF43"/>
    <mergeCell ref="AZ44:BF44"/>
    <mergeCell ref="AZ45:BF45"/>
    <mergeCell ref="AZ37:BF37"/>
    <mergeCell ref="AZ38:BF38"/>
    <mergeCell ref="AZ39:BF39"/>
    <mergeCell ref="AZ40:BF40"/>
    <mergeCell ref="AZ41:BF41"/>
  </mergeCells>
  <conditionalFormatting sqref="BJ11:BJ41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9">
      <iconSet iconSet="4TrafficLights" showValue="0">
        <cfvo type="percent" val="0"/>
        <cfvo type="percent" val="3" gte="0"/>
        <cfvo type="num" val="4" gte="0"/>
        <cfvo type="num" val="5" gte="0"/>
      </iconSet>
    </cfRule>
  </conditionalFormatting>
  <conditionalFormatting sqref="BJ42:BJ45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26">
      <iconSet iconSet="4TrafficLights" showValue="0">
        <cfvo type="percent" val="0"/>
        <cfvo type="percent" val="3" gte="0"/>
        <cfvo type="num" val="4" gte="0"/>
        <cfvo type="num" val="5" gte="0"/>
      </iconSet>
    </cfRule>
  </conditionalFormatting>
  <printOptions horizontalCentered="1"/>
  <pageMargins left="0.51181102362204722" right="0.35433070866141736" top="0.6692913385826772" bottom="0.59055118110236227" header="0.31496062992125984" footer="0.31496062992125984"/>
  <pageSetup paperSize="9" scale="58" fitToHeight="0" orientation="landscape" horizontalDpi="4294967293" verticalDpi="4294967293" r:id="rId1"/>
  <headerFooter alignWithMargins="0"/>
  <rowBreaks count="1" manualBreakCount="1">
    <brk id="46" max="6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DD1-2020</vt:lpstr>
      <vt:lpstr>Form RCI</vt:lpstr>
      <vt:lpstr>Form RCI 2</vt:lpstr>
      <vt:lpstr>Form RCI (3)</vt:lpstr>
      <vt:lpstr>Aspal</vt:lpstr>
      <vt:lpstr>Non Aspal</vt:lpstr>
      <vt:lpstr>Aspal!Print_Area</vt:lpstr>
      <vt:lpstr>'DD1-2020'!Print_Area</vt:lpstr>
      <vt:lpstr>'Form RCI'!Print_Area</vt:lpstr>
      <vt:lpstr>'Form RCI (3)'!Print_Area</vt:lpstr>
      <vt:lpstr>'Form RCI 2'!Print_Area</vt:lpstr>
      <vt:lpstr>'Non Aspal'!Print_Area</vt:lpstr>
      <vt:lpstr>Aspal!Print_Titles</vt:lpstr>
      <vt:lpstr>'DD1-2020'!Print_Titles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derry oyabun</dc:creator>
  <cp:lastModifiedBy>USER</cp:lastModifiedBy>
  <cp:lastPrinted>2021-03-02T05:15:16Z</cp:lastPrinted>
  <dcterms:created xsi:type="dcterms:W3CDTF">2019-11-11T14:29:10Z</dcterms:created>
  <dcterms:modified xsi:type="dcterms:W3CDTF">2021-04-27T02:59:21Z</dcterms:modified>
</cp:coreProperties>
</file>